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C" sheetId="1" state="visible" r:id="rId2"/>
    <sheet name="Insumos" sheetId="2" state="visible" r:id="rId3"/>
    <sheet name="Resumo Proposta" sheetId="3" state="visible" r:id="rId4"/>
    <sheet name="Prod. GEXSTM" sheetId="4" state="visible" r:id="rId5"/>
    <sheet name="GEXSTM Limp.Ord. " sheetId="5" state="visible" r:id="rId6"/>
    <sheet name="GEXSTM Covid " sheetId="6" state="visible" r:id="rId7"/>
  </sheets>
  <definedNames>
    <definedName function="false" hidden="false" localSheetId="0" name="Print_Area" vbProcedure="false">MC!$A$3:$W$20</definedName>
    <definedName function="false" hidden="false" localSheetId="3" name="_xlnm._FilterDatabase" vbProcedure="false">#REF!</definedName>
    <definedName function="false" hidden="false" localSheetId="4" name="Print_Area" vbProcedure="false">#REF!</definedName>
    <definedName function="false" hidden="false" localSheetId="5" name="Print_Area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<sst xmlns="http://schemas.openxmlformats.org/spreadsheetml/2006/main" count="1207" uniqueCount="515">
  <si>
    <t xml:space="preserve">MEMÓRIA DE CÁLCULO</t>
  </si>
  <si>
    <t xml:space="preserve">Premissas Utilizadas</t>
  </si>
  <si>
    <t xml:space="preserve">Quantidade média de dias úteis no mês</t>
  </si>
  <si>
    <t xml:space="preserve">Quantidade de dias no mês</t>
  </si>
  <si>
    <t xml:space="preserve">Módulo 1</t>
  </si>
  <si>
    <t xml:space="preserve">Salário Normativo</t>
  </si>
  <si>
    <t xml:space="preserve">CCT</t>
  </si>
  <si>
    <t xml:space="preserve">Data Base</t>
  </si>
  <si>
    <t xml:space="preserve">CBO</t>
  </si>
  <si>
    <t xml:space="preserve">RS000052/2022</t>
  </si>
  <si>
    <t xml:space="preserve">5143-20</t>
  </si>
  <si>
    <t xml:space="preserve">Carga horária semanal</t>
  </si>
  <si>
    <t xml:space="preserve">Salário Base (Cl. 3ª)</t>
  </si>
  <si>
    <t xml:space="preserve">Servente</t>
  </si>
  <si>
    <t xml:space="preserve">Encarregado acima de 20 empregados (Caderno Técnico)</t>
  </si>
  <si>
    <t xml:space="preserve">STM </t>
  </si>
  <si>
    <t xml:space="preserve">módulo 2</t>
  </si>
  <si>
    <t xml:space="preserve">Módulo 2.3</t>
  </si>
  <si>
    <t xml:space="preserve">Valor CCT</t>
  </si>
  <si>
    <t xml:space="preserve">custo empregado</t>
  </si>
  <si>
    <t xml:space="preserve">custo da empresa</t>
  </si>
  <si>
    <t xml:space="preserve">Auxílio alimentação 44h  ( Cl.18ª)</t>
  </si>
  <si>
    <t xml:space="preserve">Auxílio lanche 30h/20h  ( Cl.19ª)</t>
  </si>
  <si>
    <t xml:space="preserve">Auxílio transporte  ( Cl.20ª)</t>
  </si>
  <si>
    <t xml:space="preserve">Prêmio Assiduidade  ( Cl.)</t>
  </si>
  <si>
    <t xml:space="preserve">Assistência ao Trabalhador  ( Cl.)</t>
  </si>
  <si>
    <t xml:space="preserve">Ajuda de Custo  limpeza de vidros e fachadas de risco</t>
  </si>
  <si>
    <t xml:space="preserve">Benefício assistência médica</t>
  </si>
  <si>
    <t xml:space="preserve">Benefício social familiar  ( Cl.29ª)</t>
  </si>
  <si>
    <t xml:space="preserve">Módulo 3</t>
  </si>
  <si>
    <t xml:space="preserve">3.1 -A - Aviso Prévio Indenizado:  Fórmula do Percentual: 1/12 x 5% = 0,42%; Fórmula: Total da Remuneração x 0,42%</t>
  </si>
  <si>
    <t xml:space="preserve">→ Proporção estimada dos empregados demitidos com Aviso Prévio Indenizado, no primeiro período de 12 meses, durante a vigência do contrato: 5%.</t>
  </si>
  <si>
    <t xml:space="preserve">C - Multa do FGTS sobre Aviso Prévio Indenizado -</t>
  </si>
  <si>
    <t xml:space="preserve">(Considerando que a multa do FGTS  incide uma única vez sobre a totalidade dos meses de contrato, independentemente da espécie de Aviso Prévio  - trabalhado ou indenizado -,  zeramos essa rubrica e aportamos na sua totalidade na alínea “f” deste mesmo módulo.)</t>
  </si>
  <si>
    <t xml:space="preserve">D - Aviso Prévio Trabalhado: Fórmula do Percentual: 1 / 30 dias x 7 dias / 12 meses = 1,94%; Fórmula: Total da Remuneração x 1,</t>
  </si>
  <si>
    <t xml:space="preserve">→ Foi considerado que 100% dos empregados seriam demitidos com Aviso Prévio Trabalhado ao final do contrato.</t>
  </si>
  <si>
    <t xml:space="preserve">(Esta parcela e seus reflexos  deverão ser reduzidos após o primeiro ano da contratação para o percentual máximo de 0,194% e, 0,072%, respectivamente: Acórdão 1.186/2017-P).</t>
  </si>
  <si>
    <t xml:space="preserve">OBS: Nas prorrogações deverá constar da planilha de custos somente a previsão da extensão do aviso prévio, consoante disposto na Lei nº 12.506/2011, de 03 dias a mais por ano trabalhado, até o limite máximo de 42 dias, haja vista que os contratos poderão ser prorrogados até 60 meses.</t>
  </si>
  <si>
    <t xml:space="preserve">F - Multa FGTS e contribuição social - Fórmula do Percentual: Alíquota do FGTS (8%) x Multa do FGTS (40%) x 90% x (1 + 1/12 + 1/12 + 1/3 x 1/12) = 3,44% ; Fórmula: (Total da Remuneração) x 3,44%</t>
  </si>
  <si>
    <t xml:space="preserve">→ Foi considerado que 10% dos empregados pedem as contas.</t>
  </si>
  <si>
    <t xml:space="preserve">Módulo 4</t>
  </si>
  <si>
    <t xml:space="preserve">4.1 - Substituto nas Ausências Legais</t>
  </si>
  <si>
    <t xml:space="preserve">A - Substituto na cobertura de Férias</t>
  </si>
  <si>
    <t xml:space="preserve">Provisão para as despesas com o pagamento do substituto do empregado residente, quando este se ausentar em razões de suas férias - Fórmula do Percentual: 1/12 = 8,33% ; Fórmula: (MÓDULO 1 + 2 + 3) x 8,33%</t>
  </si>
  <si>
    <t xml:space="preserve">B – Subs. cobertura de Ausências Legais</t>
  </si>
  <si>
    <t xml:space="preserve">Provisão para cobertura das despesas eventuais com outras faltas legais (justificadas ou abonadas por lei) - Fórmula do Percentual: Média de ausências por ano * (4,874) / dias do mês (30) / doze meses = 1,3538%;    Fórmula: (MÓDULO 1 + 2 + 3) x 1,3538%</t>
  </si>
  <si>
    <t xml:space="preserve">Ausência justificada</t>
  </si>
  <si>
    <t xml:space="preserve">Afastamento por doença</t>
  </si>
  <si>
    <t xml:space="preserve">* Fonte: Caderno técnico de Limpeza 2019 – Rio Grande do Sul - SEGES/ME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</si>
  <si>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</si>
  <si>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</si>
  <si>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</si>
  <si>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</si>
  <si>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</si>
  <si>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Consulta pré-natal</t>
  </si>
  <si>
    <t xml:space="preserve">TOTAL</t>
  </si>
  <si>
    <t xml:space="preserve">C - Subst. cobertura de Licença Parternidade</t>
  </si>
  <si>
    <t xml:space="preserve">Fórmula do Percentual: 5 dias de licença (5 / 30) / 12 meses x percentual estatístico* x percentual de empregados do sexo masculino** ;    Fórmula: (MÓDULO 1 + 2 + 3) x 0,02%</t>
  </si>
  <si>
    <t xml:space="preserve">*Expectativa anual de nascimento de filhos dos trabalhadores (IBGE – Manual de Preenchimento da Planilha de Custos):</t>
  </si>
  <si>
    <t xml:space="preserve">**Percentual de Homens: Limpeza</t>
  </si>
  <si>
    <t xml:space="preserve">D - Subst.  cobertura de Ausências por acidente de trabalho</t>
  </si>
  <si>
    <t xml:space="preserve">Lei  8.213/91 obriga o empregador a assumir o ônus financeiro pelo prazo de 15 dias, no caso de acidente de trabalho previsto no art. 131 da CLT. Fórmula do Percentual: 0,9659 * dias / 30 dias do mês / 12 meses = 0,2681% ; Fórmula: (MÓDULO 1 + 2 + 3) x 0,2681%</t>
  </si>
  <si>
    <t xml:space="preserve">* Média de faltas anuais por acidente de trabalho( dias)</t>
  </si>
  <si>
    <t xml:space="preserve">4.3 - Afastamento Maternidade</t>
  </si>
  <si>
    <t xml:space="preserve">A - Afastamento Maternidade</t>
  </si>
  <si>
    <t xml:space="preserve">Fórmula do Percentual: (Dias licença: 120 / Dias no mês: 30 ) x Percentual de Mulheres* x Expectativa mensal de Afastamento Maternidade**;  Fórmula: (13° Salário + Férias + Adicional Férias + Submódulo 2.2 + Benefícios Mensais excluídos vale transporte e vale refeição) x Percentual Encontrado</t>
  </si>
  <si>
    <t xml:space="preserve">*Percentual de Mulheres Limpeza</t>
  </si>
  <si>
    <t xml:space="preserve">**Expectativa mensal Afastamento Maternidade (Censo IBGE)</t>
  </si>
  <si>
    <t xml:space="preserve">Módulo 6</t>
  </si>
  <si>
    <t xml:space="preserve">A - Custos Indiretos</t>
  </si>
  <si>
    <t xml:space="preserve">B - Lucro</t>
  </si>
  <si>
    <t xml:space="preserve">Vale Transporte e ISS</t>
  </si>
  <si>
    <t xml:space="preserve">Unidade Orgânica GEX Santa Maria</t>
  </si>
  <si>
    <t xml:space="preserve">ISS</t>
  </si>
  <si>
    <t xml:space="preserve">VT</t>
  </si>
  <si>
    <t xml:space="preserve">Serventes</t>
  </si>
  <si>
    <t xml:space="preserve">VT*Servente</t>
  </si>
  <si>
    <t xml:space="preserve">GEX SANTA MARIA</t>
  </si>
  <si>
    <t xml:space="preserve">APS CAÇAPAVA DO SUL</t>
  </si>
  <si>
    <t xml:space="preserve">APS CACHOEIRA DO SUL</t>
  </si>
  <si>
    <t xml:space="preserve">APS CANDELÁRIA</t>
  </si>
  <si>
    <t xml:space="preserve">APS RIO PARDO</t>
  </si>
  <si>
    <t xml:space="preserve">APS SANTA CRUZ DO SUL</t>
  </si>
  <si>
    <t xml:space="preserve">APS SANTA MARIA</t>
  </si>
  <si>
    <t xml:space="preserve">APS SANTIAGO</t>
  </si>
  <si>
    <t xml:space="preserve">APS VENÂNCIO AIRES</t>
  </si>
  <si>
    <t xml:space="preserve">APS CACEQUI</t>
  </si>
  <si>
    <t xml:space="preserve">APS JÚLIO DE CASTILHOS</t>
  </si>
  <si>
    <t xml:space="preserve">APS SOBRADINHO/RS</t>
  </si>
  <si>
    <t xml:space="preserve">APS TUPANCIRETÃ</t>
  </si>
  <si>
    <t xml:space="preserve">APS ENCRUZILHADA DO SUL</t>
  </si>
  <si>
    <t xml:space="preserve">Média Simples VT</t>
  </si>
  <si>
    <t xml:space="preserve">Média Ponderada VT</t>
  </si>
  <si>
    <t xml:space="preserve">MATERIAIS</t>
  </si>
  <si>
    <t xml:space="preserve">Formalização da pesquisa de preços</t>
  </si>
  <si>
    <t xml:space="preserve">DISCRIMINAÇÃO</t>
  </si>
  <si>
    <t xml:space="preserve">UNIDADE</t>
  </si>
  <si>
    <t xml:space="preserve">QUANTIDADE DEFINIDA POR SERVENTE</t>
  </si>
  <si>
    <t xml:space="preserve">PREÇO MEDIO – PAINEL DE PREÇOS (R$)</t>
  </si>
  <si>
    <t xml:space="preserve">PREÇO MÉDIO - INTERNET (R$)</t>
  </si>
  <si>
    <t xml:space="preserve">CUSTO MÉDIO (R$)</t>
  </si>
  <si>
    <t xml:space="preserve">CUSTO MENSAL MATERIAIS POR SERVENTE</t>
  </si>
  <si>
    <t xml:space="preserve">USO(*)</t>
  </si>
  <si>
    <t xml:space="preserve">Art. 3º A pesquisa de preços será materializada em documento que conterá, no mínimo:</t>
  </si>
  <si>
    <t xml:space="preserve">Ácido Muriático</t>
  </si>
  <si>
    <t xml:space="preserve">litro</t>
  </si>
  <si>
    <t xml:space="preserve">VII</t>
  </si>
  <si>
    <t xml:space="preserve">I - identificação do agente responsável pela cotação;</t>
  </si>
  <si>
    <t xml:space="preserve">Agua Sanitária</t>
  </si>
  <si>
    <t xml:space="preserve">II,III</t>
  </si>
  <si>
    <t xml:space="preserve">II - caracterização das fontes consultadas;</t>
  </si>
  <si>
    <t xml:space="preserve">Álcool Gel 70%</t>
  </si>
  <si>
    <t xml:space="preserve">500 ml</t>
  </si>
  <si>
    <t xml:space="preserve">IX</t>
  </si>
  <si>
    <t xml:space="preserve">III - série de preços coletados;</t>
  </si>
  <si>
    <t xml:space="preserve">Álcool Liquido 70%</t>
  </si>
  <si>
    <t xml:space="preserve">V - justificativas para a metodologia utilizada, em especial para a desconsideração de valores inexequíveis, inconsistentes e excessivamente elevados, se aplicável.</t>
  </si>
  <si>
    <t xml:space="preserve">Cera Líquida</t>
  </si>
  <si>
    <t xml:space="preserve">5 litros</t>
  </si>
  <si>
    <t xml:space="preserve">I, X</t>
  </si>
  <si>
    <t xml:space="preserve">Desinfetante de uso geral/banheiro</t>
  </si>
  <si>
    <t xml:space="preserve">II, X</t>
  </si>
  <si>
    <t xml:space="preserve">Desincrustante limpeza pesada piso</t>
  </si>
  <si>
    <t xml:space="preserve">I, II, VII</t>
  </si>
  <si>
    <t xml:space="preserve">Detergente liquido neutro</t>
  </si>
  <si>
    <t xml:space="preserve">X</t>
  </si>
  <si>
    <t xml:space="preserve">Detergente para Louça</t>
  </si>
  <si>
    <t xml:space="preserve">II</t>
  </si>
  <si>
    <t xml:space="preserve">Estopa 500g</t>
  </si>
  <si>
    <t xml:space="preserve">Unidade</t>
  </si>
  <si>
    <t xml:space="preserve">I, II, X</t>
  </si>
  <si>
    <t xml:space="preserve">Fibra de limpeza pesada, 230mmx150mm</t>
  </si>
  <si>
    <t xml:space="preserve">I</t>
  </si>
  <si>
    <t xml:space="preserve">Esponja dupla face, 110mmx75mmx20mm</t>
  </si>
  <si>
    <t xml:space="preserve">Flanela de algodão 40cm x 60cm</t>
  </si>
  <si>
    <t xml:space="preserve">II,, III, XI,X</t>
  </si>
  <si>
    <t xml:space="preserve">Inseticida aerosol 300ml</t>
  </si>
  <si>
    <t xml:space="preserve">I, II,X</t>
  </si>
  <si>
    <t xml:space="preserve">Lã de aço fina uso doméstico</t>
  </si>
  <si>
    <t xml:space="preserve">PC  8UN</t>
  </si>
  <si>
    <t xml:space="preserve">Limpa-metais (polidor)</t>
  </si>
  <si>
    <t xml:space="preserve">VI</t>
  </si>
  <si>
    <t xml:space="preserve">Limpa Vidro líquido</t>
  </si>
  <si>
    <t xml:space="preserve">500ml</t>
  </si>
  <si>
    <t xml:space="preserve">IV</t>
  </si>
  <si>
    <t xml:space="preserve">Limpador Multiuso (Veja ou similar)</t>
  </si>
  <si>
    <t xml:space="preserve">Lustra Móveis líquido</t>
  </si>
  <si>
    <t xml:space="preserve">100 ml</t>
  </si>
  <si>
    <t xml:space="preserve">Luva borracha para limpeza (tamanho p/m/g)</t>
  </si>
  <si>
    <t xml:space="preserve">Par</t>
  </si>
  <si>
    <t xml:space="preserve">Odorizador de ambiente spray 360ml</t>
  </si>
  <si>
    <t xml:space="preserve">Pano para limpeza algodão alvejado 70 x 45 cm ( 120g)</t>
  </si>
  <si>
    <t xml:space="preserve">Papel higiênico 1ª qual,  branca, fl. dupla 30m x 10cm ( farto 64un)</t>
  </si>
  <si>
    <t xml:space="preserve">Fardo 64un</t>
  </si>
  <si>
    <t xml:space="preserve">Papel Higiênico Rolão com 300 metros x 10 cm (BRANCO, MACIO)</t>
  </si>
  <si>
    <t xml:space="preserve">Rolão ( fardo 8un)</t>
  </si>
  <si>
    <t xml:space="preserve">Papel Toalha interfolhada, cor branca, 21cmx22cm PC com 1000 fls</t>
  </si>
  <si>
    <t xml:space="preserve">Pacote</t>
  </si>
  <si>
    <t xml:space="preserve">Pastilha Sanitária com suporte</t>
  </si>
  <si>
    <t xml:space="preserve">pacote 25g</t>
  </si>
  <si>
    <t xml:space="preserve">Sabão em líquido neutro litros</t>
  </si>
  <si>
    <t xml:space="preserve">Sabão em Barra neutro 200g</t>
  </si>
  <si>
    <t xml:space="preserve">Sabão em pó</t>
  </si>
  <si>
    <t xml:space="preserve">Kg</t>
  </si>
  <si>
    <t xml:space="preserve">Sabonete Líquido neutro, 1ª qualidade</t>
  </si>
  <si>
    <t xml:space="preserve">Sapólio cremoso 300ml</t>
  </si>
  <si>
    <t xml:space="preserve">II,X</t>
  </si>
  <si>
    <t xml:space="preserve">Saco para Lixo reforçado 40L</t>
  </si>
  <si>
    <t xml:space="preserve">pcte 100 un</t>
  </si>
  <si>
    <t xml:space="preserve">I,II,V</t>
  </si>
  <si>
    <t xml:space="preserve">Saco para Lixo reforçado 60L</t>
  </si>
  <si>
    <t xml:space="preserve">Saco para Lixo reforçado 100L</t>
  </si>
  <si>
    <t xml:space="preserve">CUSTO MATERIAIS MENSAL POR SERVENTE</t>
  </si>
  <si>
    <t xml:space="preserve">UTENSÍLIOS</t>
  </si>
  <si>
    <t xml:space="preserve">QUANTIDADE DEFINIDA POR SERVENTE (ANUAL)</t>
  </si>
  <si>
    <t xml:space="preserve">CUSTO MENSAL UTENSÍLIOS POR SERVENTE</t>
  </si>
  <si>
    <t xml:space="preserve">Balde de Plástico 10L a 20L</t>
  </si>
  <si>
    <t xml:space="preserve">Desentupidor de Pia</t>
  </si>
  <si>
    <t xml:space="preserve">Desentupidor de Vaso Sanitário</t>
  </si>
  <si>
    <t xml:space="preserve">Disco Para Enceradeira</t>
  </si>
  <si>
    <t xml:space="preserve">Escova sanitária com suporte</t>
  </si>
  <si>
    <t xml:space="preserve">Escova para Enceradeira</t>
  </si>
  <si>
    <t xml:space="preserve">Escova de Nylon para tangue</t>
  </si>
  <si>
    <t xml:space="preserve">Espanador de pó, penas, cabo 40 a 60 cm</t>
  </si>
  <si>
    <t xml:space="preserve">Mop Seco</t>
  </si>
  <si>
    <t xml:space="preserve">Mop Úmido</t>
  </si>
  <si>
    <t xml:space="preserve">Mop Úmido Refil</t>
  </si>
  <si>
    <t xml:space="preserve">Pá plastido p/ coleta de lixo,  cabo longo 80 cm</t>
  </si>
  <si>
    <t xml:space="preserve">Rodo espuma com cabo comprido, 40 a 60 cm</t>
  </si>
  <si>
    <t xml:space="preserve">Rodo borracha dupla, cabo comprido, 40 a 60 cm</t>
  </si>
  <si>
    <t xml:space="preserve">Saco descartável para aspirador de pó</t>
  </si>
  <si>
    <t xml:space="preserve">PACOTE COM 3UN</t>
  </si>
  <si>
    <t xml:space="preserve">Suporte limpa tudo, c/ rosca, articulado,  cabo</t>
  </si>
  <si>
    <t xml:space="preserve">I,II,V,X</t>
  </si>
  <si>
    <t xml:space="preserve">Vassoura de Gari</t>
  </si>
  <si>
    <t xml:space="preserve">I,X</t>
  </si>
  <si>
    <t xml:space="preserve">Vassoura de Nylon</t>
  </si>
  <si>
    <t xml:space="preserve">I,IIV,VII,X</t>
  </si>
  <si>
    <t xml:space="preserve">Vassoura de palha</t>
  </si>
  <si>
    <t xml:space="preserve">CUSTO UTENSÍLIO MENSAL POR SERVENTE</t>
  </si>
  <si>
    <t xml:space="preserve">CUSTO TOTAL DE MATERIAIS + UTENSÍLIOS POR SERVENTE</t>
  </si>
  <si>
    <t xml:space="preserve">MATERIAIS/UTENSÍLIOS PARA ÁREA SANITIZAÇÃO</t>
  </si>
  <si>
    <t xml:space="preserve">QUANTIDADE DEFINIDA POR SERVENTE (MENSAL)</t>
  </si>
  <si>
    <t xml:space="preserve">PREÇO MÉDIO – PAINEL DE PREÇOS (R$)</t>
  </si>
  <si>
    <t xml:space="preserve">CUSTO MENSAL MATERIAIS (R$)</t>
  </si>
  <si>
    <t xml:space="preserve">Álcool isopropílico</t>
  </si>
  <si>
    <t xml:space="preserve">III</t>
  </si>
  <si>
    <t xml:space="preserve">XI</t>
  </si>
  <si>
    <t xml:space="preserve">Saco para Lixo Leitoso reforçado 100L</t>
  </si>
  <si>
    <t xml:space="preserve">V</t>
  </si>
  <si>
    <t xml:space="preserve">QUANTIDADE DEFINIDA (anual)</t>
  </si>
  <si>
    <t xml:space="preserve">Borrifador 350ml de Álcool de 350ml a 500 ml</t>
  </si>
  <si>
    <t xml:space="preserve">VALOR POR servente COVID</t>
  </si>
  <si>
    <t xml:space="preserve">As áreas destinadas ao consumo dos produtos solicitados estão assim distribuídas:</t>
  </si>
  <si>
    <t xml:space="preserve">I. Para uso em áreas de circulação</t>
  </si>
  <si>
    <t xml:space="preserve">II. Para uso em banheiros e cozinha</t>
  </si>
  <si>
    <t xml:space="preserve">III. Para uso nos protetores de acrílicos</t>
  </si>
  <si>
    <t xml:space="preserve">IV. Para uso em áreas envidraçadas e tampos de mesa</t>
  </si>
  <si>
    <t xml:space="preserve">V. Para uso nas salas</t>
  </si>
  <si>
    <t xml:space="preserve">VI. Para brilho em superfícies de Inox</t>
  </si>
  <si>
    <t xml:space="preserve">VII. Para limpeza de pisos e paredes de pedra</t>
  </si>
  <si>
    <t xml:space="preserve">VIII. Para limpeza dos microcomputadores</t>
  </si>
  <si>
    <t xml:space="preserve">XI. Higienização e desinfecção das mãos e superfícies de mobiliários e equipamentos</t>
  </si>
  <si>
    <t xml:space="preserve">X. Diversos</t>
  </si>
  <si>
    <t xml:space="preserve">EQUIPAMENTOS</t>
  </si>
  <si>
    <t xml:space="preserve">QUANTIDADE DEFINIDA (1 por Unidade) GEXSTM</t>
  </si>
  <si>
    <t xml:space="preserve">CUSTO MENSAL EQUIPAMENTOS (R$) - GEXSTM</t>
  </si>
  <si>
    <t xml:space="preserve">Aspirador de Pó</t>
  </si>
  <si>
    <t xml:space="preserve">Cabo Extensor para Limpeza (5 metros)</t>
  </si>
  <si>
    <t xml:space="preserve">Carro funcional c/ bolsa, metal/plástico, 3 prat.</t>
  </si>
  <si>
    <t xml:space="preserve">Enceradeira industrial DC 350 ( 60 meses)</t>
  </si>
  <si>
    <t xml:space="preserve">Escada domés.  Alum. Degraus 4 a 6, Antiderrap</t>
  </si>
  <si>
    <t xml:space="preserve">Extensão elétrica de 15mt</t>
  </si>
  <si>
    <t xml:space="preserve">Lavadora de alta pressão mínimo 1.500 LB</t>
  </si>
  <si>
    <t xml:space="preserve">Mangueira de jardim 20m, c/ esguicho/engate</t>
  </si>
  <si>
    <t xml:space="preserve">Placa sinalizadora (Piso Molhado - 2 por APS)</t>
  </si>
  <si>
    <t xml:space="preserve">Rastelo de Jardim (somente APS com áreas verdes)</t>
  </si>
  <si>
    <t xml:space="preserve">TOTAL GERAL (60 MESES)</t>
  </si>
  <si>
    <t xml:space="preserve">TOTAL ANUAL DE EQUIPAMENTOS  - Depreciação Anual conforme tabela da RFB - 10%</t>
  </si>
  <si>
    <t xml:space="preserve">VALOR POR SERVENTE</t>
  </si>
  <si>
    <t xml:space="preserve">UNIFORMES</t>
  </si>
  <si>
    <t xml:space="preserve">QUANTIDADE DEFINIDA (anual) – GEXSTM</t>
  </si>
  <si>
    <t xml:space="preserve">PREÇO MÉDIO – PAINEL DE PREÇOS</t>
  </si>
  <si>
    <t xml:space="preserve">PEÇO MÉDIO - INTERNET</t>
  </si>
  <si>
    <t xml:space="preserve">CUSTO MÉDIO</t>
  </si>
  <si>
    <t xml:space="preserve">CUSTO MENSAL UNIFORMES – GEXSTM</t>
  </si>
  <si>
    <t xml:space="preserve">SERVENTES</t>
  </si>
  <si>
    <t xml:space="preserve">Bata (avental) pano</t>
  </si>
  <si>
    <t xml:space="preserve">Bota de borracha</t>
  </si>
  <si>
    <t xml:space="preserve">Calça</t>
  </si>
  <si>
    <t xml:space="preserve">Camiseta</t>
  </si>
  <si>
    <t xml:space="preserve">Crachá, protetor, jacaré, cordão e regulador</t>
  </si>
  <si>
    <t xml:space="preserve">Sapato segurança</t>
  </si>
  <si>
    <t xml:space="preserve">ENCARREGADAS</t>
  </si>
  <si>
    <t xml:space="preserve">Calça Social</t>
  </si>
  <si>
    <t xml:space="preserve">Camisa social  manga curta/longa</t>
  </si>
  <si>
    <t xml:space="preserve">Crachá, protetor, jacaré, cordão,regulador</t>
  </si>
  <si>
    <t xml:space="preserve">Sapato Social</t>
  </si>
  <si>
    <t xml:space="preserve">TOTAL GERAL MENSAL POR SERVENTE</t>
  </si>
  <si>
    <t xml:space="preserve">TOTAL GERAL MENSAL ENCARREGADA</t>
  </si>
  <si>
    <t xml:space="preserve">EPIs</t>
  </si>
  <si>
    <t xml:space="preserve">QUANTIDADE DEFINIDA MENSAL (Serventes 20 ou 30h)</t>
  </si>
  <si>
    <t xml:space="preserve">QUANTIDADE DEFINIDA MENSAL (Serventes 40 ou 44h)</t>
  </si>
  <si>
    <t xml:space="preserve">PREÇO MÉDIO - INTERNET</t>
  </si>
  <si>
    <t xml:space="preserve">CUSTO MENSAL DE EPIS (Servente 20 ou 30h)</t>
  </si>
  <si>
    <t xml:space="preserve">CUSTO MENSAL DE EPIS (Servente 40 ou 44h)</t>
  </si>
  <si>
    <t xml:space="preserve">ÁREA SANITIZAÇÃO</t>
  </si>
  <si>
    <t xml:space="preserve">Avental descartável</t>
  </si>
  <si>
    <t xml:space="preserve">Face Shield</t>
  </si>
  <si>
    <t xml:space="preserve">Luvas descartáveis (100un) (50 pares)</t>
  </si>
  <si>
    <t xml:space="preserve">Máscara descartável</t>
  </si>
  <si>
    <t xml:space="preserve">Touca descartável</t>
  </si>
  <si>
    <t xml:space="preserve">QUANTIDADE DEFINIDA ANUAL  (Serventes 20 ou 30h)</t>
  </si>
  <si>
    <t xml:space="preserve">QUANTIDADE DEFINIDA ANUAL  (Serventes 40 ou 44h)</t>
  </si>
  <si>
    <t xml:space="preserve">PREÇO MEDIO – PAINEL DE PREÇOS</t>
  </si>
  <si>
    <t xml:space="preserve">EPIs USO GERAL</t>
  </si>
  <si>
    <t xml:space="preserve">Avental impermeável de pvc</t>
  </si>
  <si>
    <t xml:space="preserve">Luva proteção de raspa de couro, cano curto</t>
  </si>
  <si>
    <t xml:space="preserve">Óculos de proteção lente transparente</t>
  </si>
  <si>
    <t xml:space="preserve">Obs:  Periodicidade/frequencia de trocas dos EPIs de acorda com as premissas adotadas na contratação de média de dias úteis no mês = 22 dias</t>
  </si>
  <si>
    <t xml:space="preserve">1x ao dia</t>
  </si>
  <si>
    <t xml:space="preserve">1x a cada 6 meses -  Deverá ser descartado quando danificado</t>
  </si>
  <si>
    <t xml:space="preserve">3 pares ao dia ou quando danificado</t>
  </si>
  <si>
    <t xml:space="preserve">1x a cada 3h</t>
  </si>
  <si>
    <t xml:space="preserve">Borrifador 500ML</t>
  </si>
  <si>
    <t xml:space="preserve">2un/servente/a cada 3 meses ( 1 para álcool 70% e 1 para álcool isopropílico)</t>
  </si>
  <si>
    <t xml:space="preserve">Flanela de algodão branca 40cm x 60cm</t>
  </si>
  <si>
    <t xml:space="preserve">4 un para cada servente/mês</t>
  </si>
  <si>
    <t xml:space="preserve">saco de Lixo reforçado,  100 L , cor branco leitoso</t>
  </si>
  <si>
    <t xml:space="preserve">2 un/dia por lixeira x 4 salas de perícia/serviço social e reabilitação x 22 dias uteis mês</t>
  </si>
  <si>
    <t xml:space="preserve">PLANO DE TELEFONE  ENCARREGADA (O)</t>
  </si>
  <si>
    <t xml:space="preserve">Crédito celular encarregada</t>
  </si>
  <si>
    <t xml:space="preserve">Resumo da Proposta - Processo 35014.158945/2022-69</t>
  </si>
  <si>
    <t xml:space="preserve">ÁREA INTERNA</t>
  </si>
  <si>
    <t xml:space="preserve">ÁREA EXTERNA</t>
  </si>
  <si>
    <t xml:space="preserve">ESQUADRIAS</t>
  </si>
  <si>
    <t xml:space="preserve">ITEM 1</t>
  </si>
  <si>
    <t xml:space="preserve">ITEM 2</t>
  </si>
  <si>
    <t xml:space="preserve">Unidade Orgânica</t>
  </si>
  <si>
    <t xml:space="preserve">ISS %</t>
  </si>
  <si>
    <r>
      <rPr>
        <b val="true"/>
        <sz val="9"/>
        <color rgb="FF000000"/>
        <rFont val="Calibri"/>
        <family val="2"/>
        <charset val="1"/>
      </rPr>
      <t xml:space="preserve">AI-1:</t>
    </r>
    <r>
      <rPr>
        <sz val="9"/>
        <color rgb="FF000000"/>
        <rFont val="Calibri"/>
        <family val="2"/>
        <charset val="1"/>
      </rPr>
      <t xml:space="preserve"> 
Pisos frios</t>
    </r>
  </si>
  <si>
    <r>
      <rPr>
        <b val="true"/>
        <sz val="9"/>
        <color rgb="FF000000"/>
        <rFont val="Calibri"/>
        <family val="2"/>
        <charset val="1"/>
      </rPr>
      <t xml:space="preserve">AI-1b:</t>
    </r>
    <r>
      <rPr>
        <sz val="9"/>
        <color rgb="FF000000"/>
        <rFont val="Calibri"/>
        <family val="2"/>
        <charset val="1"/>
      </rPr>
      <t xml:space="preserve"> 
Pisos frios
(incluindo banheiros)</t>
    </r>
  </si>
  <si>
    <r>
      <rPr>
        <b val="true"/>
        <sz val="9"/>
        <color rgb="FF000000"/>
        <rFont val="Calibri"/>
        <family val="2"/>
        <charset val="1"/>
      </rPr>
      <t xml:space="preserve">AI-2:</t>
    </r>
    <r>
      <rPr>
        <sz val="9"/>
        <color rgb="FF000000"/>
        <rFont val="Calibri"/>
        <family val="2"/>
        <charset val="1"/>
      </rPr>
      <t xml:space="preserve"> 
Almoxarifado, Galpões, arquivos</t>
    </r>
  </si>
  <si>
    <r>
      <rPr>
        <b val="true"/>
        <sz val="9"/>
        <color rgb="FF000000"/>
        <rFont val="Calibri"/>
        <family val="2"/>
        <charset val="1"/>
      </rPr>
      <t xml:space="preserve">AI-3:</t>
    </r>
    <r>
      <rPr>
        <sz val="9"/>
        <color rgb="FF000000"/>
        <rFont val="Calibri"/>
        <family val="2"/>
        <charset val="1"/>
      </rPr>
      <t xml:space="preserve"> 
Espaços Livres, saguão, hall, salão</t>
    </r>
  </si>
  <si>
    <r>
      <rPr>
        <b val="true"/>
        <sz val="9"/>
        <color rgb="FF000000"/>
        <rFont val="Calibri"/>
        <family val="2"/>
        <charset val="1"/>
      </rPr>
      <t xml:space="preserve">AI-4:</t>
    </r>
    <r>
      <rPr>
        <sz val="9"/>
        <color rgb="FF000000"/>
        <rFont val="Calibri"/>
        <family val="2"/>
        <charset val="1"/>
      </rPr>
      <t xml:space="preserve"> 
Banheiros</t>
    </r>
  </si>
  <si>
    <r>
      <rPr>
        <b val="true"/>
        <sz val="9"/>
        <color rgb="FF000000"/>
        <rFont val="Calibri"/>
        <family val="2"/>
        <charset val="1"/>
      </rPr>
      <t xml:space="preserve">AE-1:</t>
    </r>
    <r>
      <rPr>
        <sz val="9"/>
        <color rgb="FF000000"/>
        <rFont val="Calibri"/>
        <family val="2"/>
        <charset val="1"/>
      </rPr>
      <t xml:space="preserve"> 
Pisos adjacentes às edificações</t>
    </r>
  </si>
  <si>
    <t xml:space="preserve">AE-2: 
 coleta de detritos em pátios e áreas verdes com frequência diária</t>
  </si>
  <si>
    <r>
      <rPr>
        <b val="true"/>
        <sz val="9"/>
        <color rgb="FF000000"/>
        <rFont val="Calibri"/>
        <family val="2"/>
        <charset val="1"/>
      </rPr>
      <t xml:space="preserve">AE-3:
</t>
    </r>
    <r>
      <rPr>
        <sz val="9"/>
        <color rgb="FF000000"/>
        <rFont val="Calibri"/>
        <family val="2"/>
        <charset val="1"/>
      </rPr>
      <t xml:space="preserve">Arruamento, passeios</t>
    </r>
  </si>
  <si>
    <r>
      <rPr>
        <b val="true"/>
        <sz val="10"/>
        <color rgb="FF000000"/>
        <rFont val="Calibri"/>
        <family val="2"/>
        <charset val="1"/>
      </rPr>
      <t xml:space="preserve">EER:</t>
    </r>
    <r>
      <rPr>
        <sz val="10"/>
        <color rgb="FF000000"/>
        <rFont val="Calibri"/>
        <family val="2"/>
        <charset val="1"/>
      </rPr>
      <t xml:space="preserve"> 
Face Externa </t>
    </r>
    <r>
      <rPr>
        <b val="true"/>
        <sz val="10"/>
        <color rgb="FF000000"/>
        <rFont val="Arial"/>
        <family val="2"/>
        <charset val="1"/>
      </rPr>
      <t xml:space="preserve">COM</t>
    </r>
    <r>
      <rPr>
        <sz val="10"/>
        <color rgb="FF000000"/>
        <rFont val="Arial"/>
        <family val="2"/>
        <charset val="1"/>
      </rPr>
      <t xml:space="preserve"> exposição a risco </t>
    </r>
  </si>
  <si>
    <r>
      <rPr>
        <b val="true"/>
        <sz val="10"/>
        <color rgb="FF000000"/>
        <rFont val="Calibri"/>
        <family val="2"/>
        <charset val="1"/>
      </rPr>
      <t xml:space="preserve">EE:</t>
    </r>
    <r>
      <rPr>
        <sz val="10"/>
        <color rgb="FF000000"/>
        <rFont val="Calibri"/>
        <family val="2"/>
        <charset val="1"/>
      </rPr>
      <t xml:space="preserve"> 
Face Externa </t>
    </r>
    <r>
      <rPr>
        <b val="true"/>
        <sz val="10"/>
        <color rgb="FF000000"/>
        <rFont val="Arial"/>
        <family val="2"/>
        <charset val="1"/>
      </rPr>
      <t xml:space="preserve">SEM</t>
    </r>
    <r>
      <rPr>
        <sz val="10"/>
        <color rgb="FF000000"/>
        <rFont val="Arial"/>
        <family val="2"/>
        <charset val="1"/>
      </rPr>
      <t xml:space="preserve"> exposição a risco</t>
    </r>
  </si>
  <si>
    <r>
      <rPr>
        <b val="true"/>
        <sz val="9"/>
        <color rgb="FF000000"/>
        <rFont val="Calibri"/>
        <family val="2"/>
        <charset val="1"/>
      </rPr>
      <t xml:space="preserve">EI:</t>
    </r>
    <r>
      <rPr>
        <sz val="9"/>
        <color rgb="FF000000"/>
        <rFont val="Calibri"/>
        <family val="2"/>
        <charset val="1"/>
      </rPr>
      <t xml:space="preserve"> 
Face Interna</t>
    </r>
  </si>
  <si>
    <t xml:space="preserve">Valor mensal                                   Limpeza odinária</t>
  </si>
  <si>
    <t xml:space="preserve">Valor mensal                                   Servente Covid</t>
  </si>
  <si>
    <t xml:space="preserve">Área</t>
  </si>
  <si>
    <t xml:space="preserve">Preço m²</t>
  </si>
  <si>
    <t xml:space="preserve">R$</t>
  </si>
  <si>
    <t xml:space="preserve">Rua Venâncio Aires 2114, centro Santa Maria-RS</t>
  </si>
  <si>
    <t xml:space="preserve">Rua Barão de Caçapava, 633, Centro, Caçapava do Sul/RS, 96570-000</t>
  </si>
  <si>
    <t xml:space="preserve">General Portinho, 1785 </t>
  </si>
  <si>
    <t xml:space="preserve">Rua 25 de Agosto 80 - Centro Candelaria- Rs CEP 96.930-000</t>
  </si>
  <si>
    <t xml:space="preserve">Rua Adolfo Pritsch, nº 504</t>
  </si>
  <si>
    <t xml:space="preserve">Rua Ramiro Barcelos, 1430, Centro, Santa Cruz do Sul/RS - 96-810.152
</t>
  </si>
  <si>
    <t xml:space="preserve">RUA FRANCISCO CAMARGO, 128, CENTRO, SANTIAGO, RS CEP 97.700-100</t>
  </si>
  <si>
    <t xml:space="preserve">Rua Jacob Becker, 1733, Venâncio Aires – RS</t>
  </si>
  <si>
    <t xml:space="preserve">Rua sete de setembro,276, centro - 97450-000</t>
  </si>
  <si>
    <t xml:space="preserve">AV. BETO SALLES, 55, CENTRO, JULIO DE CASTILHOS/RS</t>
  </si>
  <si>
    <t xml:space="preserve">Rua Pedro Alváres Cabral, S/Nº, Centro, Sobradinho/RS</t>
  </si>
  <si>
    <t xml:space="preserve">Rua Capitão Amorim S/N</t>
  </si>
  <si>
    <t xml:space="preserve">Avenida General Osório, 335. Centro. Enruzilhada do Sul-RS</t>
  </si>
  <si>
    <t xml:space="preserve">Total Mensal GEX Santa Maria</t>
  </si>
  <si>
    <t xml:space="preserve">TOTAL GERAL</t>
  </si>
  <si>
    <t xml:space="preserve">Total A23:Q59Mensais GEX Curitiba</t>
  </si>
  <si>
    <t xml:space="preserve">Área útil total</t>
  </si>
  <si>
    <t xml:space="preserve">AI-4: 
Banheiros</t>
  </si>
  <si>
    <r>
      <rPr>
        <b val="true"/>
        <sz val="9"/>
        <color rgb="FF000000"/>
        <rFont val="Calibri"/>
        <family val="2"/>
        <charset val="1"/>
      </rPr>
      <t xml:space="preserve">AE-2:
</t>
    </r>
    <r>
      <rPr>
        <sz val="9"/>
        <color rgb="FF000000"/>
        <rFont val="Calibri"/>
        <family val="2"/>
        <charset val="1"/>
      </rPr>
      <t xml:space="preserve">coleta de detritos em pátios e áreas verdes com frequência diária</t>
    </r>
  </si>
  <si>
    <t xml:space="preserve">Serventes por Unidade (Calculada)</t>
  </si>
  <si>
    <t xml:space="preserve">Qtde de serventes ajustada LIMPEZA ORDINÁRIA e carga horária</t>
  </si>
  <si>
    <t xml:space="preserve">Qtde Ajustada Qtde postos COVID e Carga horária servente</t>
  </si>
  <si>
    <t xml:space="preserve">Qtde postos e Carga horária ENCARREGADA</t>
  </si>
  <si>
    <t xml:space="preserve">40h (40%)</t>
  </si>
  <si>
    <t xml:space="preserve">40h (20%)</t>
  </si>
  <si>
    <t xml:space="preserve">30h (40%)</t>
  </si>
  <si>
    <t xml:space="preserve">30h (20%)</t>
  </si>
  <si>
    <t xml:space="preserve">40h</t>
  </si>
  <si>
    <t xml:space="preserve">30h</t>
  </si>
  <si>
    <t xml:space="preserve">Total Geral</t>
  </si>
  <si>
    <t xml:space="preserve">Produtividade adotada</t>
  </si>
  <si>
    <t xml:space="preserve">total</t>
  </si>
  <si>
    <t xml:space="preserve">Número de Serventes</t>
  </si>
  <si>
    <t xml:space="preserve">fração</t>
  </si>
  <si>
    <t xml:space="preserve">Número de Encarregados</t>
  </si>
  <si>
    <t xml:space="preserve">(1/prod) serventes</t>
  </si>
  <si>
    <t xml:space="preserve">(1/prod) encarregado</t>
  </si>
  <si>
    <t xml:space="preserve">Limite de Produtividade IN 05/2017</t>
  </si>
  <si>
    <t xml:space="preserve">800 a 1200</t>
  </si>
  <si>
    <t xml:space="preserve">1500 a 2500</t>
  </si>
  <si>
    <t xml:space="preserve">1000 a 1500</t>
  </si>
  <si>
    <t xml:space="preserve">200 a 300</t>
  </si>
  <si>
    <t xml:space="preserve">1800 a 2700</t>
  </si>
  <si>
    <t xml:space="preserve">6000 a 9000</t>
  </si>
  <si>
    <t xml:space="preserve">130 a 160</t>
  </si>
  <si>
    <t xml:space="preserve">300 a 380</t>
  </si>
  <si>
    <t xml:space="preserve">SEMESTRAL</t>
  </si>
  <si>
    <t xml:space="preserve">ANEXO IV</t>
  </si>
  <si>
    <t xml:space="preserve">MODELO DE PROPOSTA E PLANILHA DE CUSTOS E FORMAÇÃO DE PREÇOS</t>
  </si>
  <si>
    <t xml:space="preserve">PROCESSO 35014.158945/2022-69</t>
  </si>
  <si>
    <t xml:space="preserve">Servente 40h</t>
  </si>
  <si>
    <t xml:space="preserve">Servente 30h</t>
  </si>
  <si>
    <t xml:space="preserve">Encarregado</t>
  </si>
  <si>
    <t xml:space="preserve">Salário Normativo da Categoria:</t>
  </si>
  <si>
    <t xml:space="preserve">Data base da Categoria:</t>
  </si>
  <si>
    <t xml:space="preserve">Convenção Coletiva:</t>
  </si>
  <si>
    <t xml:space="preserve">CBO/MTE:</t>
  </si>
  <si>
    <t xml:space="preserve">CUSTOS</t>
  </si>
  <si>
    <t xml:space="preserve">Percentuais e Valores de Referência</t>
  </si>
  <si>
    <t xml:space="preserve">Servente 40h (banheirista)
(insalubridade 40%)</t>
  </si>
  <si>
    <t xml:space="preserve">Servente 40h
(insalubridade 20%)</t>
  </si>
  <si>
    <t xml:space="preserve">Servente 30h (banheirista)
(insalubridade 40%)</t>
  </si>
  <si>
    <t xml:space="preserve">Servente 30h
(insalubridade 20%)</t>
  </si>
  <si>
    <t xml:space="preserve">Encarregada 40h</t>
  </si>
  <si>
    <t xml:space="preserve">MÓDULO 1: COMPOSIÇÃO DA REMUNERAÇÃO</t>
  </si>
  <si>
    <t xml:space="preserve">1 - Composição da Remuneração</t>
  </si>
  <si>
    <t xml:space="preserve">Percentuais</t>
  </si>
  <si>
    <t xml:space="preserve">Valor (R$)</t>
  </si>
  <si>
    <t xml:space="preserve">A - Salário Base</t>
  </si>
  <si>
    <t xml:space="preserve">B - Adicional de Insalubridade</t>
  </si>
  <si>
    <t xml:space="preserve">40% / 20%</t>
  </si>
  <si>
    <t xml:space="preserve">-</t>
  </si>
  <si>
    <t xml:space="preserve">D - Adicional Noturno</t>
  </si>
  <si>
    <t xml:space="preserve">E - Adicional de Hora Noturna Reduzida</t>
  </si>
  <si>
    <t xml:space="preserve">F - Adicional de Hora Extra no Feriado Trabalhado</t>
  </si>
  <si>
    <t xml:space="preserve">E - Outros</t>
  </si>
  <si>
    <t xml:space="preserve">Total</t>
  </si>
  <si>
    <t xml:space="preserve">MÓDULO 2: ENCARGOS E BENEFÍCIOS ANUAIS, MENSAIS E DIÁRIOS</t>
  </si>
  <si>
    <t xml:space="preserve">2.1 - 13º Salário, Férias e Adicional de Férias</t>
  </si>
  <si>
    <t xml:space="preserve">A - 13º salário</t>
  </si>
  <si>
    <t xml:space="preserve">B - Adicional de Férias</t>
  </si>
  <si>
    <t xml:space="preserve">2.2 - Encargos Previdenciários e FGTS</t>
  </si>
  <si>
    <t xml:space="preserve">2.2.1 - GPS</t>
  </si>
  <si>
    <t xml:space="preserve">A - INSS</t>
  </si>
  <si>
    <t xml:space="preserve">B - Salário Educação</t>
  </si>
  <si>
    <t xml:space="preserve">C - SAT</t>
  </si>
  <si>
    <t xml:space="preserve">D - SESI ou SESC</t>
  </si>
  <si>
    <t xml:space="preserve">E - SENAI ou SENAC</t>
  </si>
  <si>
    <t xml:space="preserve">F - SEBRAE</t>
  </si>
  <si>
    <t xml:space="preserve">='Prod. GEXSTM'!R17*'GEXSTM Limp.Ord. '!B13'</t>
  </si>
  <si>
    <t xml:space="preserve">G - INCRA</t>
  </si>
  <si>
    <t xml:space="preserve">F - FGTS</t>
  </si>
  <si>
    <t xml:space="preserve">2.3 - Benefícios Mensais e Diários</t>
  </si>
  <si>
    <t xml:space="preserve">Valores</t>
  </si>
  <si>
    <t xml:space="preserve">A - Transporte</t>
  </si>
  <si>
    <t xml:space="preserve">B - Auxílio-Refeição/Alimentação/ lanche (COM DESCONTO DE 19%)</t>
  </si>
  <si>
    <t xml:space="preserve">C - Ajuda de custo (equipes limpeza vidros)</t>
  </si>
  <si>
    <t xml:space="preserve">D - Assistência Médica</t>
  </si>
  <si>
    <t xml:space="preserve">E - Benefício Social Familiar (Cláusula 29ª)</t>
  </si>
  <si>
    <t xml:space="preserve">F - Outros (especificar)</t>
  </si>
  <si>
    <t xml:space="preserve">2 - ENCARGOS E BENEFÍCIOS ANUAIS, MENSAIS E DIÁRIOS</t>
  </si>
  <si>
    <t xml:space="preserve">2.2 - GPS, FGTS e outras contribuições</t>
  </si>
  <si>
    <t xml:space="preserve">MÓDULO 3: PROVISÃO PARA RESCISÃO</t>
  </si>
  <si>
    <t xml:space="preserve">3 - Provisão para Rescisão</t>
  </si>
  <si>
    <t xml:space="preserve">3.1 - Aviso Prévio Indenizado</t>
  </si>
  <si>
    <t xml:space="preserve">A - Aviso Prévio Indenizado</t>
  </si>
  <si>
    <t xml:space="preserve">B - Incidência do FGTS sobre Aviso Prévio Indenizado</t>
  </si>
  <si>
    <t xml:space="preserve">C - Multa do FGTS sobre Aviso Prévio Indenizado</t>
  </si>
  <si>
    <t xml:space="preserve">A - Aviso Prévio Trabalhado</t>
  </si>
  <si>
    <t xml:space="preserve">B - Incidência do submódulo 2.2 sobre o Aviso Prévio Trabalhado</t>
  </si>
  <si>
    <t xml:space="preserve">C - Multa do FGTS sobre Aviso Prévio Trabalhado</t>
  </si>
  <si>
    <t xml:space="preserve">MÓDULO 4: CUSTO DE REPOSIÇÃO DO PROFISSIONAL AUSENTE</t>
  </si>
  <si>
    <t xml:space="preserve">B – Substituto na cobertura de Ausências Legais</t>
  </si>
  <si>
    <t xml:space="preserve">C - Substituto na cobertura de Licença Paternidade</t>
  </si>
  <si>
    <t xml:space="preserve">D - Substituto na cobertura de Ausências por acidente de trabalho</t>
  </si>
  <si>
    <t xml:space="preserve">Subtotal</t>
  </si>
  <si>
    <t xml:space="preserve">4.2 - Substituto na Intrajornada</t>
  </si>
  <si>
    <t xml:space="preserve">A - Substituto na cobertura de Intervalo para repouso ou alimentação</t>
  </si>
  <si>
    <t xml:space="preserve">4 - Custo de Reposição do Profissional Ausente</t>
  </si>
  <si>
    <t xml:space="preserve">MÓDULO 5: INSUMOS DE MÃO DE OBRA</t>
  </si>
  <si>
    <t xml:space="preserve">5 - Insumos Diversos</t>
  </si>
  <si>
    <t xml:space="preserve">Valores/Percentuais</t>
  </si>
  <si>
    <t xml:space="preserve">A - Uniformes</t>
  </si>
  <si>
    <t xml:space="preserve">B - Materiais e utensílios</t>
  </si>
  <si>
    <t xml:space="preserve">C - Equipamentos</t>
  </si>
  <si>
    <t xml:space="preserve">D - EPIs</t>
  </si>
  <si>
    <t xml:space="preserve">E - Esquadrias de risco - Materiais/ Equipamentos/EPIs (conforme MPOG)</t>
  </si>
  <si>
    <t xml:space="preserve">F - Plano de telefone</t>
  </si>
  <si>
    <t xml:space="preserve">G - Outros</t>
  </si>
  <si>
    <t xml:space="preserve">MÓDULO 6: CUSTOS INDIRETOS, TRIBUTOS E LUCRO</t>
  </si>
  <si>
    <t xml:space="preserve">6 - Custos Indiretos, Tributos e Lucro</t>
  </si>
  <si>
    <t xml:space="preserve">C - Tributos  (ISS 2,00%)</t>
  </si>
  <si>
    <t xml:space="preserve">C.1 - Tributos Federais (PIS e COFINS)</t>
  </si>
  <si>
    <t xml:space="preserve">C.3 - Tributos Municipais (especificar)</t>
  </si>
  <si>
    <t xml:space="preserve">C - Tributos  (ISS 2,500%)</t>
  </si>
  <si>
    <t xml:space="preserve">C - Tributos  (ISS 3,00%)</t>
  </si>
  <si>
    <t xml:space="preserve">C - Tributos  (ISS 3,50%)</t>
  </si>
  <si>
    <t xml:space="preserve">C - Tributos  (ISS 4,00%)</t>
  </si>
  <si>
    <t xml:space="preserve">C - Tributos  (ISS 5,00%)</t>
  </si>
  <si>
    <t xml:space="preserve">Total Tributos por ISS Municipal</t>
  </si>
  <si>
    <t xml:space="preserve">C.4 - Outros Tributos (especificar)</t>
  </si>
  <si>
    <t xml:space="preserve">QUADRO RESUMO DO CUSTO POR EMPREGADO</t>
  </si>
  <si>
    <t xml:space="preserve">Mão de obra vinculada à execução contratual (valor por empregado)</t>
  </si>
  <si>
    <t xml:space="preserve">A - Módulo 1 - Composição da Remuneração</t>
  </si>
  <si>
    <t xml:space="preserve">B - Módulo 2 - Encargos e Benefícios Anuais, Mensais e Diários</t>
  </si>
  <si>
    <t xml:space="preserve">C - Módulo 3 - Provisão para Rescisão</t>
  </si>
  <si>
    <t xml:space="preserve">D - Módulo 4 - Custos de Reposição do Profissional Ausente</t>
  </si>
  <si>
    <t xml:space="preserve">E - Módulo 5 - Insumos Diversos</t>
  </si>
  <si>
    <t xml:space="preserve">Subtotal (A + B + C + D + E)</t>
  </si>
  <si>
    <t xml:space="preserve">F - Módulo 6 - Custos Indiretos, Tributos e Lucro (ISS 2,00%)</t>
  </si>
  <si>
    <t xml:space="preserve">F - Módulo 6 - Custos Indiretos, Tributos e Lucro (ISS 2,5%)</t>
  </si>
  <si>
    <t xml:space="preserve">F - Módulo 6 - Custos Indiretos, Tributos e Lucro (ISS 3,00%)</t>
  </si>
  <si>
    <t xml:space="preserve">F - Módulo 6 - Custos Indiretos, Tributos e Lucro (ISS 3,50%)</t>
  </si>
  <si>
    <t xml:space="preserve">F - Módulo 6 - Custos Indiretos, Tributos e Lucro (ISS 4,00%)</t>
  </si>
  <si>
    <t xml:space="preserve">F - Módulo 6 - Custos Indiretos, Tributos e Lucro (ISS 5,00%)</t>
  </si>
  <si>
    <t xml:space="preserve">TOTAL POR EMPREGADO/MÊS com ISS de 2%</t>
  </si>
  <si>
    <t xml:space="preserve">TOTAL POR EMPREGADO/MÊS com ISS de 2,5%</t>
  </si>
  <si>
    <t xml:space="preserve">TOTAL POR EMPREGADO/MÊS com ISS de 3%</t>
  </si>
  <si>
    <t xml:space="preserve">TOTAL POR EMPREGADO/MÊS com ISS de 3,5%</t>
  </si>
  <si>
    <t xml:space="preserve">TOTAL POR EMPREGADO/MÊS com ISS de 4%</t>
  </si>
  <si>
    <t xml:space="preserve">TOTAL POR EMPREGADO/MÊS com ISS de 5%</t>
  </si>
  <si>
    <t xml:space="preserve">AI-1 Área Interna pisos frios</t>
  </si>
  <si>
    <t xml:space="preserve">ISS de 2%</t>
  </si>
  <si>
    <t xml:space="preserve">ISS de 2,5%</t>
  </si>
  <si>
    <t xml:space="preserve">ISS de 3%</t>
  </si>
  <si>
    <t xml:space="preserve">ISS de 3,5%</t>
  </si>
  <si>
    <t xml:space="preserve">ISS de 4%</t>
  </si>
  <si>
    <t xml:space="preserve">ISS de 5%</t>
  </si>
  <si>
    <t xml:space="preserve">MÃO DE OBRA</t>
  </si>
  <si>
    <t xml:space="preserve">(1) PRODUTIVIDADE (1/P)</t>
  </si>
  <si>
    <t xml:space="preserve">(2) PREÇO HOMEM MÊS (R$)</t>
  </si>
  <si>
    <t xml:space="preserve">(1x2) SUBTOTAL (R$/M²)</t>
  </si>
  <si>
    <t xml:space="preserve">SERVENTE</t>
  </si>
  <si>
    <t xml:space="preserve">ENCARREGADO</t>
  </si>
  <si>
    <t xml:space="preserve">Subtotal 20%</t>
  </si>
  <si>
    <t xml:space="preserve">AI-1b Área Interna pisos frios (incluindo limpeza de banheiros públicos e/ou de grande circulação)</t>
  </si>
  <si>
    <t xml:space="preserve">AI-2 Área interna (Almoxarifado, Galpões, arquivos )</t>
  </si>
  <si>
    <t xml:space="preserve">(1) PRODUTIVIDADE (1/M²)</t>
  </si>
  <si>
    <t xml:space="preserve">Subtotal:</t>
  </si>
  <si>
    <t xml:space="preserve">AI-3 Área interna Espaços Livres (saguão, hall, salão)</t>
  </si>
  <si>
    <t xml:space="preserve">AI-4 Área interna  Banheiros</t>
  </si>
  <si>
    <t xml:space="preserve">AE-1 AE-2 AE-3 Áreas Externas</t>
  </si>
  <si>
    <t xml:space="preserve">AE-1 Área Externa pisos adjacentes às edificações</t>
  </si>
  <si>
    <t xml:space="preserve">Subtotal AE-1</t>
  </si>
  <si>
    <t xml:space="preserve">AE-2: coleta de detritos em pátios e áreas verdes com frequência diária</t>
  </si>
  <si>
    <t xml:space="preserve">Subtotal AE-2</t>
  </si>
  <si>
    <t xml:space="preserve">AE-3 Área Externa arruamento, passeios</t>
  </si>
  <si>
    <t xml:space="preserve">Subtotal AE-3</t>
  </si>
  <si>
    <t xml:space="preserve">EER EE EI Esquadrias</t>
  </si>
  <si>
    <r>
      <rPr>
        <sz val="10"/>
        <color rgb="FF000000"/>
        <rFont val="Calibri"/>
        <family val="2"/>
        <charset val="1"/>
      </rPr>
      <t xml:space="preserve">EER Área de Esquadria Face Externa </t>
    </r>
    <r>
      <rPr>
        <b val="true"/>
        <sz val="10"/>
        <color rgb="FF000000"/>
        <rFont val="Arial"/>
        <family val="2"/>
        <charset val="1"/>
      </rPr>
      <t xml:space="preserve">COM</t>
    </r>
    <r>
      <rPr>
        <sz val="10"/>
        <color rgb="FF000000"/>
        <rFont val="Arial"/>
        <family val="2"/>
        <charset val="1"/>
      </rPr>
      <t xml:space="preserve"> exposição a risco </t>
    </r>
  </si>
  <si>
    <t xml:space="preserve">Subtotal EER</t>
  </si>
  <si>
    <r>
      <rPr>
        <sz val="10"/>
        <color rgb="FF000000"/>
        <rFont val="Calibri"/>
        <family val="2"/>
        <charset val="1"/>
      </rPr>
      <t xml:space="preserve">EE Área de Esquadria Face Externa </t>
    </r>
    <r>
      <rPr>
        <b val="true"/>
        <sz val="10"/>
        <color rgb="FF000000"/>
        <rFont val="Arial"/>
        <family val="2"/>
        <charset val="1"/>
      </rPr>
      <t xml:space="preserve">SEM</t>
    </r>
    <r>
      <rPr>
        <sz val="10"/>
        <color rgb="FF000000"/>
        <rFont val="Arial"/>
        <family val="2"/>
        <charset val="1"/>
      </rPr>
      <t xml:space="preserve"> exposição a risco</t>
    </r>
  </si>
  <si>
    <t xml:space="preserve">Subtotal EE</t>
  </si>
  <si>
    <t xml:space="preserve">EI Área de Esquadria Face Interna</t>
  </si>
  <si>
    <t xml:space="preserve">Subtotal EI</t>
  </si>
  <si>
    <t xml:space="preserve">Servente 40h
COVID</t>
  </si>
  <si>
    <t xml:space="preserve">Servente 30h
COVID</t>
  </si>
  <si>
    <t xml:space="preserve">D - Assistência Médica (Cláusula 15ª)</t>
  </si>
  <si>
    <t xml:space="preserve">E - Benefício Social Familiar (Cláusula 16ª)</t>
  </si>
</sst>
</file>

<file path=xl/styles.xml><?xml version="1.0" encoding="utf-8"?>
<styleSheet xmlns="http://schemas.openxmlformats.org/spreadsheetml/2006/main">
  <numFmts count="26">
    <numFmt numFmtId="164" formatCode="General"/>
    <numFmt numFmtId="165" formatCode="D/M/YYYY"/>
    <numFmt numFmtId="166" formatCode="* #,##0.00\ ;\-* #,##0.00\ ;* \-#\ ;@\ "/>
    <numFmt numFmtId="167" formatCode="_-* #,##0.00_-;\-* #,##0.00_-;_-* \-??_-;_-@_-"/>
    <numFmt numFmtId="168" formatCode="General"/>
    <numFmt numFmtId="169" formatCode="0%"/>
    <numFmt numFmtId="170" formatCode="0.00"/>
    <numFmt numFmtId="171" formatCode="0.00%"/>
    <numFmt numFmtId="172" formatCode="0.0000"/>
    <numFmt numFmtId="173" formatCode="#,##0.00\ ;\(#,##0.00\);\-#\ ;@\ "/>
    <numFmt numFmtId="174" formatCode="#,##0.000000;\(#,##0.000000\)"/>
    <numFmt numFmtId="175" formatCode="&quot;R$ &quot;#,##0.00;[RED]&quot;-R$ &quot;#,##0.00"/>
    <numFmt numFmtId="176" formatCode="&quot;R$ &quot;#,##0.00"/>
    <numFmt numFmtId="177" formatCode="_-&quot;R$ &quot;* #,##0.00_-;&quot;-R$ &quot;* #,##0.00_-;_-&quot;R$ &quot;* \-??_-;_-@_-"/>
    <numFmt numFmtId="178" formatCode="#,##0.00"/>
    <numFmt numFmtId="179" formatCode="[$R$-416]\ #,##0.00;[RED]\-[$R$-416]\ #,##0.00"/>
    <numFmt numFmtId="180" formatCode="[$R$-416]\ * #,##0.00\ ;\-[$R$-416]\ * #,##0.00\ ;[$R$-416]\ * \-#\ ;@\ "/>
    <numFmt numFmtId="181" formatCode="#,##0.0"/>
    <numFmt numFmtId="182" formatCode="0.0000000"/>
    <numFmt numFmtId="183" formatCode="0.00000000"/>
    <numFmt numFmtId="184" formatCode="#,##0.00\ ;\(#,##0.00\)"/>
    <numFmt numFmtId="185" formatCode="&quot;R$ &quot;#,##0.00\ ;[RED]&quot;(R$ &quot;#,##0.00\)"/>
    <numFmt numFmtId="186" formatCode="0.000000000"/>
    <numFmt numFmtId="187" formatCode="#,##0.00\ ;#,##0.00\ ;\-#\ ;@\ "/>
    <numFmt numFmtId="188" formatCode="0.000000000;[RED]\(0.000000000\)"/>
    <numFmt numFmtId="189" formatCode="0.0000000000"/>
  </numFmts>
  <fonts count="55">
    <font>
      <sz val="11"/>
      <color rgb="FF333333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333333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8"/>
      <color rgb="FFFFFFFF"/>
      <name val="Calibri"/>
      <family val="2"/>
      <charset val="1"/>
    </font>
    <font>
      <b val="true"/>
      <sz val="9"/>
      <color rgb="FF333333"/>
      <name val="Calibri"/>
      <family val="2"/>
      <charset val="1"/>
    </font>
    <font>
      <sz val="9"/>
      <color rgb="FFFF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color rgb="FFDDDDDD"/>
      <name val="Calibri"/>
      <family val="2"/>
      <charset val="1"/>
    </font>
    <font>
      <sz val="9"/>
      <color rgb="FFDDDDDD"/>
      <name val="Arial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color rgb="FF333333"/>
      <name val="Calibri"/>
      <family val="0"/>
      <charset val="1"/>
    </font>
    <font>
      <sz val="9"/>
      <color rgb="FFDDDDDD"/>
      <name val="Calibri"/>
      <family val="2"/>
      <charset val="1"/>
    </font>
    <font>
      <sz val="9"/>
      <name val="Calibri"/>
      <family val="2"/>
      <charset val="1"/>
    </font>
    <font>
      <sz val="10"/>
      <color rgb="FF333333"/>
      <name val="Arial"/>
      <family val="2"/>
      <charset val="1"/>
    </font>
    <font>
      <b val="true"/>
      <sz val="10"/>
      <color rgb="FF333333"/>
      <name val="Arial"/>
      <family val="2"/>
      <charset val="1"/>
    </font>
    <font>
      <b val="true"/>
      <sz val="9"/>
      <color rgb="FF333333"/>
      <name val="Arial"/>
      <family val="2"/>
      <charset val="1"/>
    </font>
    <font>
      <sz val="9"/>
      <color rgb="FF333333"/>
      <name val="Arial"/>
      <family val="2"/>
      <charset val="1"/>
    </font>
    <font>
      <sz val="10"/>
      <name val="Arial"/>
      <family val="2"/>
      <charset val="1"/>
    </font>
    <font>
      <sz val="8"/>
      <color rgb="FF333333"/>
      <name val="Arial"/>
      <family val="2"/>
      <charset val="1"/>
    </font>
    <font>
      <sz val="11"/>
      <color rgb="FF444444"/>
      <name val="Calibri"/>
      <family val="2"/>
      <charset val="1"/>
    </font>
    <font>
      <sz val="10"/>
      <color rgb="FF000000"/>
      <name val="Calibri"/>
      <family val="2"/>
      <charset val="1"/>
    </font>
    <font>
      <sz val="18"/>
      <color rgb="FFFFFFFF"/>
      <name val="Calibri"/>
      <family val="2"/>
      <charset val="1"/>
    </font>
    <font>
      <sz val="11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Calibri"/>
      <family val="2"/>
      <charset val="1"/>
    </font>
    <font>
      <b val="true"/>
      <sz val="8"/>
      <name val="Calibri"/>
      <family val="2"/>
      <charset val="1"/>
    </font>
    <font>
      <sz val="10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b val="true"/>
      <i val="true"/>
      <sz val="10"/>
      <color rgb="FFFFFFFF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Calibri"/>
      <family val="2"/>
      <charset val="1"/>
    </font>
    <font>
      <sz val="9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0"/>
      <color rgb="FF333333"/>
      <name val="Calibri"/>
      <family val="2"/>
      <charset val="1"/>
    </font>
    <font>
      <b val="true"/>
      <sz val="8"/>
      <color rgb="FF444444"/>
      <name val="Calibri"/>
      <family val="2"/>
      <charset val="1"/>
    </font>
    <font>
      <sz val="9"/>
      <color rgb="FF000000"/>
      <name val="Calibri"/>
      <family val="0"/>
      <charset val="1"/>
    </font>
    <font>
      <sz val="10"/>
      <color rgb="FF000000"/>
      <name val="Calibri"/>
      <family val="0"/>
      <charset val="1"/>
    </font>
    <font>
      <b val="true"/>
      <i val="true"/>
      <sz val="10"/>
      <color rgb="FF000000"/>
      <name val="Calibri"/>
      <family val="2"/>
      <charset val="1"/>
    </font>
    <font>
      <b val="true"/>
      <sz val="12"/>
      <color rgb="FF333333"/>
      <name val="Calibri"/>
      <family val="2"/>
      <charset val="1"/>
    </font>
    <font>
      <sz val="10"/>
      <color rgb="FF000080"/>
      <name val="Calibri"/>
      <family val="2"/>
      <charset val="1"/>
    </font>
    <font>
      <sz val="10"/>
      <color rgb="FF339966"/>
      <name val="Calibri"/>
      <family val="2"/>
      <charset val="1"/>
    </font>
    <font>
      <b val="true"/>
      <sz val="10"/>
      <color rgb="FF808080"/>
      <name val="Calibri"/>
      <family val="2"/>
      <charset val="1"/>
    </font>
    <font>
      <u val="single"/>
      <sz val="11"/>
      <color rgb="FF0563C1"/>
      <name val="Arial"/>
      <family val="2"/>
      <charset val="1"/>
    </font>
    <font>
      <b val="true"/>
      <i val="true"/>
      <sz val="10"/>
      <color rgb="FF333333"/>
      <name val="Calibri"/>
      <family val="2"/>
      <charset val="1"/>
    </font>
    <font>
      <sz val="10"/>
      <color rgb="FF0000FF"/>
      <name val="Calibri"/>
      <family val="2"/>
      <charset val="1"/>
    </font>
    <font>
      <sz val="10"/>
      <color rgb="FFFF3333"/>
      <name val="Calibri"/>
      <family val="2"/>
      <charset val="1"/>
    </font>
  </fonts>
  <fills count="46">
    <fill>
      <patternFill patternType="none"/>
    </fill>
    <fill>
      <patternFill patternType="gray125"/>
    </fill>
    <fill>
      <patternFill patternType="solid">
        <fgColor rgb="FF0F5097"/>
        <bgColor rgb="FF444444"/>
      </patternFill>
    </fill>
    <fill>
      <patternFill patternType="solid">
        <fgColor rgb="FFD9E1F2"/>
        <bgColor rgb="FFD6DCE4"/>
      </patternFill>
    </fill>
    <fill>
      <patternFill patternType="solid">
        <fgColor rgb="FFD6DCE4"/>
        <bgColor rgb="FFDDDDDD"/>
      </patternFill>
    </fill>
    <fill>
      <patternFill patternType="solid">
        <fgColor rgb="FFFFE699"/>
        <bgColor rgb="FFFFFF99"/>
      </patternFill>
    </fill>
    <fill>
      <patternFill patternType="solid">
        <fgColor rgb="FFBF819E"/>
        <bgColor rgb="FFC890E2"/>
      </patternFill>
    </fill>
    <fill>
      <patternFill patternType="solid">
        <fgColor rgb="FF729FCF"/>
        <bgColor rgb="FF5B9BD5"/>
      </patternFill>
    </fill>
    <fill>
      <patternFill patternType="solid">
        <fgColor rgb="FF8EA9DB"/>
        <bgColor rgb="FF8FAADC"/>
      </patternFill>
    </fill>
    <fill>
      <patternFill patternType="solid">
        <fgColor rgb="FFCCCCCC"/>
        <bgColor rgb="FFC1C1C1"/>
      </patternFill>
    </fill>
    <fill>
      <patternFill patternType="solid">
        <fgColor rgb="FFFFFFFF"/>
        <bgColor rgb="FFFFFFCC"/>
      </patternFill>
    </fill>
    <fill>
      <patternFill patternType="solid">
        <fgColor rgb="FFF4B183"/>
        <bgColor rgb="FFFF9999"/>
      </patternFill>
    </fill>
    <fill>
      <patternFill patternType="solid">
        <fgColor rgb="FFFCE4D6"/>
        <bgColor rgb="FFFFF2CC"/>
      </patternFill>
    </fill>
    <fill>
      <patternFill patternType="solid">
        <fgColor rgb="FF35965C"/>
        <bgColor rgb="FF58AA38"/>
      </patternFill>
    </fill>
    <fill>
      <patternFill patternType="solid">
        <fgColor rgb="FFC6E0B4"/>
        <bgColor rgb="FFD9D9D9"/>
      </patternFill>
    </fill>
    <fill>
      <patternFill patternType="solid">
        <fgColor rgb="FFFFF2CC"/>
        <bgColor rgb="FFFFFFCC"/>
      </patternFill>
    </fill>
    <fill>
      <patternFill patternType="solid">
        <fgColor rgb="FF8497B0"/>
        <bgColor rgb="FF729FCF"/>
      </patternFill>
    </fill>
    <fill>
      <patternFill patternType="solid">
        <fgColor rgb="FFFFCC00"/>
        <bgColor rgb="FFFFFF00"/>
      </patternFill>
    </fill>
    <fill>
      <patternFill patternType="solid">
        <fgColor rgb="FFD9D9D9"/>
        <bgColor rgb="FFDDDDDD"/>
      </patternFill>
    </fill>
    <fill>
      <patternFill patternType="solid">
        <fgColor rgb="FFA1467E"/>
        <bgColor rgb="FF843C0B"/>
      </patternFill>
    </fill>
    <fill>
      <patternFill patternType="solid">
        <fgColor rgb="FF5EB91E"/>
        <bgColor rgb="FF58AA38"/>
      </patternFill>
    </fill>
    <fill>
      <patternFill patternType="solid">
        <fgColor rgb="FF5983B0"/>
        <bgColor rgb="FF5B9BD5"/>
      </patternFill>
    </fill>
    <fill>
      <patternFill patternType="solid">
        <fgColor rgb="FFA6A6A6"/>
        <bgColor rgb="FF8EA9DB"/>
      </patternFill>
    </fill>
    <fill>
      <patternFill patternType="solid">
        <fgColor rgb="FFBBE33D"/>
        <bgColor rgb="FFA9D08E"/>
      </patternFill>
    </fill>
    <fill>
      <patternFill patternType="solid">
        <fgColor rgb="FFB4C7DC"/>
        <bgColor rgb="FFB4C6E7"/>
      </patternFill>
    </fill>
    <fill>
      <patternFill patternType="solid">
        <fgColor rgb="FF808080"/>
        <bgColor rgb="FF8497B0"/>
      </patternFill>
    </fill>
    <fill>
      <patternFill patternType="solid">
        <fgColor rgb="FF5B9BD5"/>
        <bgColor rgb="FF729FCF"/>
      </patternFill>
    </fill>
    <fill>
      <patternFill patternType="solid">
        <fgColor rgb="FF9BC2E6"/>
        <bgColor rgb="FFB4C6E7"/>
      </patternFill>
    </fill>
    <fill>
      <patternFill patternType="solid">
        <fgColor rgb="FFFF9999"/>
        <bgColor rgb="FFF4B183"/>
      </patternFill>
    </fill>
    <fill>
      <patternFill patternType="solid">
        <fgColor rgb="FFFFCCCC"/>
        <bgColor rgb="FFFACFD6"/>
      </patternFill>
    </fill>
    <fill>
      <patternFill patternType="solid">
        <fgColor rgb="FFC1C1C1"/>
        <bgColor rgb="FFC0C0C0"/>
      </patternFill>
    </fill>
    <fill>
      <patternFill patternType="solid">
        <fgColor rgb="FFC890E2"/>
        <bgColor rgb="FFCC95F9"/>
      </patternFill>
    </fill>
    <fill>
      <patternFill patternType="solid">
        <fgColor rgb="FFDDDDDD"/>
        <bgColor rgb="FFD9D9D9"/>
      </patternFill>
    </fill>
    <fill>
      <patternFill patternType="solid">
        <fgColor rgb="FF58AA38"/>
        <bgColor rgb="FF5EB91E"/>
      </patternFill>
    </fill>
    <fill>
      <patternFill patternType="solid">
        <fgColor rgb="FFA9D08E"/>
        <bgColor rgb="FFC6E0B4"/>
      </patternFill>
    </fill>
    <fill>
      <patternFill patternType="solid">
        <fgColor rgb="FFFFFFCC"/>
        <bgColor rgb="FFFFF2CC"/>
      </patternFill>
    </fill>
    <fill>
      <patternFill patternType="solid">
        <fgColor rgb="FFCC95F9"/>
        <bgColor rgb="FFC890E2"/>
      </patternFill>
    </fill>
    <fill>
      <patternFill patternType="solid">
        <fgColor rgb="FF00CCFF"/>
        <bgColor rgb="FF5B9BD5"/>
      </patternFill>
    </fill>
    <fill>
      <patternFill patternType="solid">
        <fgColor rgb="FF00FF00"/>
        <bgColor rgb="FF5EB91E"/>
      </patternFill>
    </fill>
    <fill>
      <patternFill patternType="solid">
        <fgColor rgb="FFCCCCFF"/>
        <bgColor rgb="FFB4C6E7"/>
      </patternFill>
    </fill>
    <fill>
      <patternFill patternType="solid">
        <fgColor rgb="FFC0C0C0"/>
        <bgColor rgb="FFC1C1C1"/>
      </patternFill>
    </fill>
    <fill>
      <patternFill patternType="solid">
        <fgColor rgb="FFFFFF00"/>
        <bgColor rgb="FFFFCC00"/>
      </patternFill>
    </fill>
    <fill>
      <patternFill patternType="solid">
        <fgColor rgb="FFDEEBF7"/>
        <bgColor rgb="FFD9E1F2"/>
      </patternFill>
    </fill>
    <fill>
      <patternFill patternType="solid">
        <fgColor rgb="FF8FAADC"/>
        <bgColor rgb="FF8EA9DB"/>
      </patternFill>
    </fill>
    <fill>
      <patternFill patternType="solid">
        <fgColor rgb="FFF64C0C"/>
        <bgColor rgb="FFFF3333"/>
      </patternFill>
    </fill>
    <fill>
      <patternFill patternType="solid">
        <fgColor rgb="FFFFFF99"/>
        <bgColor rgb="FFFFFFCC"/>
      </patternFill>
    </fill>
  </fills>
  <borders count="9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/>
      <top style="hair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/>
      <top style="thin"/>
      <bottom style="hair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/>
      <top style="thin">
        <color rgb="FFB4C6E7"/>
      </top>
      <bottom/>
      <diagonal/>
    </border>
    <border diagonalUp="false" diagonalDown="false">
      <left/>
      <right/>
      <top style="thin">
        <color rgb="FFB4C6E7"/>
      </top>
      <bottom style="thin">
        <color rgb="FF9BC2E6"/>
      </bottom>
      <diagonal/>
    </border>
    <border diagonalUp="false" diagonalDown="false">
      <left/>
      <right/>
      <top style="thin">
        <color rgb="FFB4C6E7"/>
      </top>
      <bottom style="thin">
        <color rgb="FFB4C6E7"/>
      </bottom>
      <diagonal/>
    </border>
    <border diagonalUp="false" diagonalDown="false">
      <left/>
      <right/>
      <top style="thin">
        <color rgb="FF9BC2E6"/>
      </top>
      <bottom style="thin">
        <color rgb="FFB4C6E7"/>
      </bottom>
      <diagonal/>
    </border>
    <border diagonalUp="false" diagonalDown="false">
      <left/>
      <right/>
      <top/>
      <bottom style="thin">
        <color rgb="FFB4C6E7"/>
      </bottom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medium"/>
      <top style="hair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medium"/>
      <right style="medium"/>
      <top style="hair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 style="hair"/>
      <right style="medium"/>
      <top style="hair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51" fillId="0" borderId="0" applyFont="true" applyBorder="false" applyAlignment="true" applyProtection="false">
      <alignment horizontal="general" vertical="bottom" textRotation="0" wrapText="false" indent="0" shrinkToFit="false"/>
    </xf>
    <xf numFmtId="166" fontId="2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8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8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8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5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6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3" fontId="10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5" fillId="0" borderId="20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6" fillId="0" borderId="0" xfId="15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15" fillId="0" borderId="2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4" fillId="0" borderId="7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4" fillId="7" borderId="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7" fillId="0" borderId="0" xfId="15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9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9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9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9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22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6" fontId="1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8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9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9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1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22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6" fontId="1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8" fillId="0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3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3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7" fontId="18" fillId="0" borderId="4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4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7" fontId="18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9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1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18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3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5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3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3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8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7" fontId="18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11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2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2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2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2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5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1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12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9" fillId="12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14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5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9" fillId="15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5" fontId="1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5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5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5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6" fontId="18" fillId="0" borderId="5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9" fillId="1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16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4" borderId="4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4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6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16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5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18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8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6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4" borderId="5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5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5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16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9" fillId="16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10" borderId="4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5" fillId="1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1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1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9" fillId="17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18" fillId="0" borderId="6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8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18" borderId="3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18" borderId="3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19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1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2" borderId="2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8" fillId="22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6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2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4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5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26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4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2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7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28" borderId="6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3" fillId="28" borderId="6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3" fillId="28" borderId="6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28" borderId="6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6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4" fillId="0" borderId="1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12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9" fillId="0" borderId="10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34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9" fillId="0" borderId="64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32" fillId="22" borderId="4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25" fillId="27" borderId="2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29" borderId="16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3" fillId="29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29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9" fillId="0" borderId="47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4" fillId="0" borderId="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5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9" fillId="0" borderId="3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9" fontId="3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9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9" fillId="0" borderId="2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29" borderId="1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3" fillId="29" borderId="6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3" fillId="29" borderId="6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5" fillId="29" borderId="6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5" fillId="21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6" fillId="21" borderId="6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36" fillId="21" borderId="6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36" fillId="21" borderId="6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6" fillId="21" borderId="52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36" fillId="21" borderId="5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6" fillId="21" borderId="5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6" fillId="21" borderId="6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0" fontId="36" fillId="21" borderId="6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3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2" borderId="6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9" fillId="2" borderId="6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6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2" borderId="6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2" borderId="6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8" fontId="40" fillId="2" borderId="6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1" fillId="2" borderId="6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3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36" fillId="2" borderId="7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7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2" borderId="7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9" fillId="2" borderId="7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4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19" borderId="7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0" borderId="7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21" borderId="7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30" borderId="2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31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3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24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4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2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2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33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2" fillId="32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32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3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9" fillId="0" borderId="7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7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4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77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0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7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32" borderId="4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3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4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4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4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34" borderId="3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9" fillId="0" borderId="2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5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32" borderId="3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3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16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79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79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4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34" borderId="4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4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1" fontId="9" fillId="0" borderId="8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3" fillId="0" borderId="17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8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1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5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8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32" borderId="8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8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7" borderId="60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6" fillId="21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21" borderId="5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21" borderId="5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21" borderId="54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32" borderId="2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32" borderId="3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32" borderId="4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26" borderId="2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26" borderId="2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8" fillId="33" borderId="2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3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1" fillId="0" borderId="3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1" fillId="0" borderId="3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1" fillId="0" borderId="2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31" fillId="9" borderId="7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31" fillId="9" borderId="8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8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8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9" borderId="8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14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31" fillId="14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31" fillId="1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31" fillId="1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31" fillId="1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31" fillId="14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31" fillId="14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2" fontId="31" fillId="1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31" fillId="1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31" fillId="1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0" borderId="5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6" borderId="5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3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24" borderId="5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4" borderId="8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7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1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1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7" fillId="1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35" borderId="6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5" borderId="8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5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1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4" fontId="4" fillId="35" borderId="47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4" fontId="4" fillId="35" borderId="4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5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5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5" borderId="5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5" borderId="8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5" borderId="5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4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10" borderId="6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36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36" borderId="8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36" borderId="7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36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37" borderId="4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38" borderId="4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42" fillId="38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2" fillId="38" borderId="2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4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6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10" borderId="3" xfId="1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2" fillId="10" borderId="6" xfId="1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42" fillId="10" borderId="21" xfId="1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48" fillId="10" borderId="3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42" fillId="10" borderId="21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49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10" borderId="3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42" fillId="10" borderId="6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9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8" borderId="4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8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8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8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8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10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3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39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2" fillId="39" borderId="2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28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8" fillId="8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8" fillId="8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3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10" borderId="3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10" borderId="21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5" fontId="48" fillId="10" borderId="3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5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10" borderId="3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2" fillId="10" borderId="21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2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8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0" borderId="4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5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5" fillId="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2" fillId="40" borderId="4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2" fillId="4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3" fontId="42" fillId="4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42" fillId="40" borderId="2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48" fillId="10" borderId="3" xfId="19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5" fontId="48" fillId="10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41" borderId="4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48" fillId="41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1" borderId="3" xfId="1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42" fillId="41" borderId="21" xfId="1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9" fillId="4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0" borderId="4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9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37" borderId="4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42" borderId="4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8" fillId="42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2" borderId="3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42" fillId="42" borderId="2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0" fillId="0" borderId="3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0" fillId="0" borderId="21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0" fillId="0" borderId="8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0" fillId="0" borderId="90" xfId="15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10" fillId="0" borderId="3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10" fillId="0" borderId="21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48" fillId="10" borderId="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0" fillId="0" borderId="8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10" fillId="0" borderId="90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8" fillId="43" borderId="8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3" borderId="10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3" borderId="64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48" fillId="43" borderId="79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3" borderId="3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3" borderId="21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48" fillId="43" borderId="79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48" fillId="43" borderId="82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3" borderId="5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3" borderId="8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8" fillId="1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0" fillId="10" borderId="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10" fillId="10" borderId="20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0" borderId="5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10" borderId="4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0" borderId="4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4" borderId="6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2" fillId="4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2" fillId="44" borderId="6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17" borderId="5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42" fillId="17" borderId="8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2" fillId="17" borderId="90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10" borderId="6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42" fillId="1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10" borderId="6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10" borderId="4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42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1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10" borderId="4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50" fillId="1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10" borderId="4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50" fillId="1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9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5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18" borderId="3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18" borderId="3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42" fillId="18" borderId="3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42" fillId="18" borderId="3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2" fillId="18" borderId="3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18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42" fillId="18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42" fillId="18" borderId="3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2" fillId="18" borderId="3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2" fillId="18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42" fillId="18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9" fontId="42" fillId="18" borderId="2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6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4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4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6" fontId="10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10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1" fillId="0" borderId="0" xfId="2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2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2" fillId="6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6" fontId="52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2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3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0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10" fillId="1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8" fontId="10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0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2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23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86" fontId="1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2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8" fontId="1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2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4" fillId="4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6" fillId="24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89" fontId="10" fillId="2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0" fillId="2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52" fillId="2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1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8" fillId="10" borderId="3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5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28" fillId="8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8" fillId="8" borderId="5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8" fillId="8" borderId="8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2" fillId="37" borderId="4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28" fillId="8" borderId="5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28" fillId="8" borderId="5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8" fontId="28" fillId="8" borderId="8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5" fontId="48" fillId="10" borderId="3" xfId="19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5" fontId="48" fillId="10" borderId="3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48" fillId="10" borderId="3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2" fillId="40" borderId="5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9" fillId="40" borderId="5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0" borderId="5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0" borderId="8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10" borderId="5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8" fillId="10" borderId="5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0" fillId="0" borderId="5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10" fillId="0" borderId="8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8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8" fillId="43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42" fillId="43" borderId="7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43" borderId="20" xfId="15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48" fillId="43" borderId="3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8" fillId="43" borderId="5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42" fillId="44" borderId="9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42" fillId="17" borderId="92" xfId="1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42" fillId="10" borderId="9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42" fillId="10" borderId="5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5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50" fillId="10" borderId="92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TableStyleLight1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3333"/>
      <rgbColor rgb="FFA9D08E"/>
      <rgbColor rgb="FFFACFD6"/>
      <rgbColor rgb="FF58AA38"/>
      <rgbColor rgb="FFFCE4D6"/>
      <rgbColor rgb="FF806000"/>
      <rgbColor rgb="FFC1C1C1"/>
      <rgbColor rgb="FF5EB91E"/>
      <rgbColor rgb="FFC0C0C0"/>
      <rgbColor rgb="FF808080"/>
      <rgbColor rgb="FF8EA9DB"/>
      <rgbColor rgb="FFA1467E"/>
      <rgbColor rgb="FFFFFFCC"/>
      <rgbColor rgb="FFDEEBF7"/>
      <rgbColor rgb="FFCCCCCC"/>
      <rgbColor rgb="FFFA7070"/>
      <rgbColor rgb="FF0F5097"/>
      <rgbColor rgb="FFCCCCFF"/>
      <rgbColor rgb="FFFFF2CC"/>
      <rgbColor rgb="FFC890E2"/>
      <rgbColor rgb="FFFFE699"/>
      <rgbColor rgb="FFB4C6E7"/>
      <rgbColor rgb="FFB4C7DC"/>
      <rgbColor rgb="FFD9D9D9"/>
      <rgbColor rgb="FF8FAADC"/>
      <rgbColor rgb="FFDDDDDD"/>
      <rgbColor rgb="FF00CCFF"/>
      <rgbColor rgb="FFD9E1F2"/>
      <rgbColor rgb="FFC6E0B4"/>
      <rgbColor rgb="FFFFFF99"/>
      <rgbColor rgb="FF9BC2E6"/>
      <rgbColor rgb="FFFF9999"/>
      <rgbColor rgb="FFCC95F9"/>
      <rgbColor rgb="FFFFCCCC"/>
      <rgbColor rgb="FF729FCF"/>
      <rgbColor rgb="FF5B9BD5"/>
      <rgbColor rgb="FFBBE33D"/>
      <rgbColor rgb="FFFFCC00"/>
      <rgbColor rgb="FFF4B183"/>
      <rgbColor rgb="FFF64C0C"/>
      <rgbColor rgb="FF5983B0"/>
      <rgbColor rgb="FF8497B0"/>
      <rgbColor rgb="FFA6A6A6"/>
      <rgbColor rgb="FF35965C"/>
      <rgbColor rgb="FFD6DCE4"/>
      <rgbColor rgb="FF444444"/>
      <rgbColor rgb="FF843C0B"/>
      <rgbColor rgb="FFC55A11"/>
      <rgbColor rgb="FFBF819E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843C0B"/>
    <pageSetUpPr fitToPage="false"/>
  </sheetPr>
  <dimension ref="A1:O1048490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D12" activeCellId="0" sqref="D12"/>
    </sheetView>
  </sheetViews>
  <sheetFormatPr defaultRowHeight="14.25" zeroHeight="false" outlineLevelRow="0" outlineLevelCol="0"/>
  <cols>
    <col collapsed="false" customWidth="true" hidden="false" outlineLevel="0" max="1" min="1" style="1" width="4.37"/>
    <col collapsed="false" customWidth="true" hidden="false" outlineLevel="0" max="2" min="2" style="1" width="41.87"/>
    <col collapsed="false" customWidth="true" hidden="false" outlineLevel="0" max="3" min="3" style="1" width="13"/>
    <col collapsed="false" customWidth="true" hidden="false" outlineLevel="0" max="4" min="4" style="1" width="13.13"/>
    <col collapsed="false" customWidth="true" hidden="false" outlineLevel="0" max="13" min="5" style="2" width="11.87"/>
    <col collapsed="false" customWidth="true" hidden="false" outlineLevel="0" max="14" min="14" style="2" width="27.12"/>
    <col collapsed="false" customWidth="true" hidden="false" outlineLevel="0" max="15" min="15" style="2" width="10.75"/>
    <col collapsed="false" customWidth="true" hidden="false" outlineLevel="0" max="16" min="16" style="1" width="8.88"/>
    <col collapsed="false" customWidth="true" hidden="false" outlineLevel="0" max="17" min="17" style="1" width="10.38"/>
    <col collapsed="false" customWidth="true" hidden="false" outlineLevel="0" max="18" min="18" style="1" width="6.62"/>
    <col collapsed="false" customWidth="true" hidden="false" outlineLevel="0" max="19" min="19" style="1" width="6.25"/>
    <col collapsed="false" customWidth="true" hidden="false" outlineLevel="0" max="21" min="20" style="1" width="11.13"/>
    <col collapsed="false" customWidth="true" hidden="false" outlineLevel="0" max="22" min="22" style="1" width="12.5"/>
    <col collapsed="false" customWidth="true" hidden="false" outlineLevel="0" max="23" min="23" style="1" width="3.75"/>
    <col collapsed="false" customWidth="true" hidden="false" outlineLevel="0" max="24" min="24" style="1" width="8.12"/>
    <col collapsed="false" customWidth="true" hidden="false" outlineLevel="0" max="25" min="25" style="1" width="8"/>
    <col collapsed="false" customWidth="true" hidden="false" outlineLevel="0" max="1014" min="26" style="1" width="10.5"/>
    <col collapsed="false" customWidth="true" hidden="false" outlineLevel="0" max="1025" min="1015" style="0" width="10.5"/>
  </cols>
  <sheetData>
    <row r="1" customFormat="false" ht="23.25" hidden="false" customHeight="false" outlineLevel="0" collapsed="false">
      <c r="A1" s="3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14.25" hidden="false" customHeight="false" outlineLevel="0" collapsed="false">
      <c r="B2" s="5"/>
      <c r="C2" s="5"/>
      <c r="D2" s="5"/>
      <c r="E2" s="5"/>
    </row>
    <row r="3" customFormat="false" ht="26.1" hidden="false" customHeight="true" outlineLevel="0" collapsed="false">
      <c r="B3" s="6" t="s">
        <v>1</v>
      </c>
      <c r="C3" s="7" t="s">
        <v>2</v>
      </c>
      <c r="D3" s="7"/>
      <c r="E3" s="8" t="n">
        <v>22</v>
      </c>
    </row>
    <row r="4" customFormat="false" ht="14.25" hidden="false" customHeight="false" outlineLevel="0" collapsed="false">
      <c r="C4" s="8" t="s">
        <v>3</v>
      </c>
      <c r="D4" s="8"/>
      <c r="E4" s="9" t="n">
        <v>30</v>
      </c>
    </row>
    <row r="6" customFormat="false" ht="17.1" hidden="false" customHeight="true" outlineLevel="0" collapsed="false">
      <c r="A6" s="3"/>
      <c r="B6" s="3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customFormat="false" ht="14.25" hidden="false" customHeight="false" outlineLevel="0" collapsed="false">
      <c r="B7" s="10" t="s">
        <v>5</v>
      </c>
      <c r="C7" s="11" t="s">
        <v>6</v>
      </c>
      <c r="D7" s="11"/>
      <c r="E7" s="12" t="s">
        <v>7</v>
      </c>
      <c r="F7" s="11" t="s">
        <v>8</v>
      </c>
      <c r="K7" s="1"/>
      <c r="L7" s="1"/>
      <c r="M7" s="1"/>
      <c r="N7" s="1"/>
      <c r="O7" s="1"/>
    </row>
    <row r="8" customFormat="false" ht="13.9" hidden="false" customHeight="true" outlineLevel="0" collapsed="false">
      <c r="C8" s="13" t="s">
        <v>9</v>
      </c>
      <c r="D8" s="13"/>
      <c r="E8" s="14" t="n">
        <v>44562</v>
      </c>
      <c r="F8" s="15" t="s">
        <v>10</v>
      </c>
      <c r="K8" s="1"/>
      <c r="L8" s="1"/>
      <c r="M8" s="1"/>
      <c r="N8" s="1"/>
      <c r="O8" s="1"/>
    </row>
    <row r="9" customFormat="false" ht="14.25" hidden="false" customHeight="false" outlineLevel="0" collapsed="false">
      <c r="C9" s="16" t="s">
        <v>11</v>
      </c>
      <c r="D9" s="16"/>
      <c r="E9" s="16"/>
      <c r="F9" s="16"/>
      <c r="K9" s="1"/>
      <c r="L9" s="1"/>
      <c r="M9" s="1"/>
      <c r="N9" s="1"/>
      <c r="O9" s="1"/>
    </row>
    <row r="10" customFormat="false" ht="14.25" hidden="false" customHeight="false" outlineLevel="0" collapsed="false">
      <c r="B10" s="17" t="s">
        <v>12</v>
      </c>
      <c r="C10" s="8" t="n">
        <v>44</v>
      </c>
      <c r="D10" s="8" t="n">
        <v>40</v>
      </c>
      <c r="E10" s="8" t="n">
        <v>30</v>
      </c>
      <c r="F10" s="8" t="n">
        <v>20</v>
      </c>
      <c r="K10" s="1"/>
      <c r="L10" s="1"/>
      <c r="M10" s="1"/>
      <c r="N10" s="1"/>
      <c r="O10" s="1"/>
    </row>
    <row r="11" customFormat="false" ht="14.25" hidden="false" customHeight="false" outlineLevel="0" collapsed="false">
      <c r="B11" s="18" t="s">
        <v>13</v>
      </c>
      <c r="C11" s="19" t="n">
        <v>1314.09</v>
      </c>
      <c r="D11" s="20" t="n">
        <f aca="false">C11/C10*D10</f>
        <v>1194.62727272727</v>
      </c>
      <c r="E11" s="20" t="n">
        <f aca="false">C11/C10*E10</f>
        <v>895.970454545454</v>
      </c>
      <c r="F11" s="20" t="n">
        <f aca="false">C11/C10*F10</f>
        <v>597.313636363636</v>
      </c>
      <c r="G11" s="21"/>
      <c r="K11" s="1"/>
      <c r="L11" s="1"/>
      <c r="M11" s="1"/>
      <c r="N11" s="1"/>
      <c r="O11" s="1"/>
    </row>
    <row r="12" customFormat="false" ht="14.25" hidden="false" customHeight="false" outlineLevel="0" collapsed="false">
      <c r="B12" s="10" t="s">
        <v>14</v>
      </c>
      <c r="C12" s="22" t="n">
        <f aca="false">C11*1.4012</f>
        <v>1841.302908</v>
      </c>
      <c r="D12" s="20" t="n">
        <f aca="false">C12/C10*D10</f>
        <v>1673.91173454545</v>
      </c>
      <c r="E12" s="20" t="n">
        <f aca="false">C12/C10*E10</f>
        <v>1255.43380090909</v>
      </c>
      <c r="F12" s="20" t="n">
        <f aca="false">C12/C10*F10</f>
        <v>836.955867272727</v>
      </c>
      <c r="K12" s="1"/>
      <c r="L12" s="1"/>
      <c r="M12" s="1"/>
      <c r="N12" s="1"/>
      <c r="O12" s="1"/>
    </row>
    <row r="13" customFormat="false" ht="14.25" hidden="false" customHeight="false" outlineLevel="0" collapsed="false">
      <c r="B13" s="10"/>
      <c r="C13" s="22"/>
      <c r="D13" s="20" t="n">
        <f aca="false">C13/C10*D10</f>
        <v>0</v>
      </c>
      <c r="E13" s="20" t="n">
        <f aca="false">C13/C10*E10</f>
        <v>0</v>
      </c>
      <c r="F13" s="20" t="n">
        <f aca="false">C13/C10*F10</f>
        <v>0</v>
      </c>
      <c r="K13" s="1"/>
      <c r="L13" s="1"/>
      <c r="M13" s="1"/>
      <c r="N13" s="1"/>
      <c r="O13" s="1"/>
    </row>
    <row r="14" customFormat="false" ht="14.25" hidden="false" customHeight="false" outlineLevel="0" collapsed="false">
      <c r="C14" s="1" t="s">
        <v>15</v>
      </c>
      <c r="K14" s="1"/>
      <c r="L14" s="1"/>
      <c r="M14" s="1"/>
      <c r="N14" s="1"/>
      <c r="O14" s="1"/>
    </row>
    <row r="15" customFormat="false" ht="16.5" hidden="false" customHeight="false" outlineLevel="0" collapsed="false">
      <c r="A15" s="3"/>
      <c r="B15" s="3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customFormat="false" ht="14.25" hidden="false" customHeight="false" outlineLevel="0" collapsed="false">
      <c r="B16" s="23" t="s">
        <v>17</v>
      </c>
      <c r="C16" s="24" t="s">
        <v>18</v>
      </c>
      <c r="D16" s="25" t="s">
        <v>19</v>
      </c>
      <c r="E16" s="26"/>
      <c r="F16" s="27" t="s">
        <v>20</v>
      </c>
      <c r="K16" s="1"/>
      <c r="L16" s="1"/>
      <c r="M16" s="1"/>
      <c r="N16" s="1"/>
      <c r="O16" s="1"/>
    </row>
    <row r="17" customFormat="false" ht="14.25" hidden="false" customHeight="false" outlineLevel="0" collapsed="false">
      <c r="B17" s="18" t="s">
        <v>21</v>
      </c>
      <c r="C17" s="28" t="n">
        <f aca="false">20.18*$E3</f>
        <v>443.96</v>
      </c>
      <c r="D17" s="29" t="n">
        <v>0.19</v>
      </c>
      <c r="E17" s="29"/>
      <c r="F17" s="30" t="n">
        <f aca="false">ROUND(C17*(1-D17),2)</f>
        <v>359.61</v>
      </c>
      <c r="K17" s="1"/>
      <c r="L17" s="1"/>
      <c r="M17" s="1"/>
      <c r="N17" s="1"/>
      <c r="O17" s="1"/>
    </row>
    <row r="18" customFormat="false" ht="17.1" hidden="false" customHeight="true" outlineLevel="0" collapsed="false">
      <c r="B18" s="6" t="s">
        <v>22</v>
      </c>
      <c r="C18" s="31" t="n">
        <f aca="false">10.09*$E3</f>
        <v>221.98</v>
      </c>
      <c r="D18" s="32" t="n">
        <f aca="false">D17</f>
        <v>0.19</v>
      </c>
      <c r="E18" s="32"/>
      <c r="F18" s="30" t="n">
        <f aca="false">ROUND(C18*(1-D18),2)</f>
        <v>179.8</v>
      </c>
      <c r="K18" s="1"/>
      <c r="L18" s="1"/>
      <c r="M18" s="1"/>
      <c r="N18" s="1"/>
      <c r="O18" s="1"/>
    </row>
    <row r="19" customFormat="false" ht="14.25" hidden="false" customHeight="false" outlineLevel="0" collapsed="false">
      <c r="B19" s="6" t="s">
        <v>23</v>
      </c>
      <c r="C19" s="31"/>
      <c r="D19" s="32" t="n">
        <v>0.06</v>
      </c>
      <c r="E19" s="32"/>
      <c r="F19" s="31"/>
      <c r="K19" s="1"/>
      <c r="L19" s="1"/>
      <c r="M19" s="1"/>
      <c r="N19" s="1"/>
      <c r="O19" s="1"/>
    </row>
    <row r="20" customFormat="false" ht="12.95" hidden="false" customHeight="true" outlineLevel="0" collapsed="false">
      <c r="B20" s="6" t="s">
        <v>24</v>
      </c>
      <c r="C20" s="31"/>
      <c r="D20" s="32"/>
      <c r="E20" s="32"/>
      <c r="F20" s="31"/>
      <c r="K20" s="1"/>
      <c r="L20" s="1"/>
      <c r="M20" s="1"/>
      <c r="N20" s="1"/>
      <c r="O20" s="1"/>
    </row>
    <row r="21" customFormat="false" ht="14.25" hidden="false" customHeight="false" outlineLevel="0" collapsed="false">
      <c r="B21" s="6" t="s">
        <v>25</v>
      </c>
      <c r="C21" s="20"/>
      <c r="D21" s="31"/>
      <c r="E21" s="31"/>
      <c r="F21" s="20"/>
      <c r="K21" s="1"/>
      <c r="L21" s="1"/>
      <c r="M21" s="1"/>
      <c r="N21" s="1"/>
      <c r="O21" s="1"/>
    </row>
    <row r="22" customFormat="false" ht="14.25" hidden="false" customHeight="false" outlineLevel="0" collapsed="false">
      <c r="B22" s="33" t="s">
        <v>26</v>
      </c>
      <c r="C22" s="34"/>
      <c r="D22" s="20"/>
      <c r="E22" s="20"/>
      <c r="F22" s="20"/>
      <c r="K22" s="1"/>
      <c r="L22" s="1"/>
      <c r="M22" s="1"/>
      <c r="N22" s="1"/>
      <c r="O22" s="1"/>
    </row>
    <row r="23" customFormat="false" ht="14.25" hidden="false" customHeight="false" outlineLevel="0" collapsed="false">
      <c r="B23" s="33"/>
      <c r="C23" s="35"/>
      <c r="D23" s="31"/>
      <c r="E23" s="31"/>
      <c r="F23" s="20"/>
      <c r="K23" s="1"/>
      <c r="L23" s="1"/>
      <c r="M23" s="1"/>
      <c r="N23" s="1"/>
      <c r="O23" s="1"/>
    </row>
    <row r="24" customFormat="false" ht="12.95" hidden="false" customHeight="true" outlineLevel="0" collapsed="false">
      <c r="B24" s="17" t="s">
        <v>27</v>
      </c>
      <c r="C24" s="36"/>
      <c r="D24" s="32"/>
      <c r="E24" s="32"/>
      <c r="F24" s="36"/>
      <c r="K24" s="1"/>
      <c r="L24" s="1"/>
      <c r="M24" s="1"/>
      <c r="N24" s="1"/>
      <c r="O24" s="1"/>
    </row>
    <row r="25" customFormat="false" ht="12.95" hidden="false" customHeight="true" outlineLevel="0" collapsed="false">
      <c r="B25" s="6" t="s">
        <v>28</v>
      </c>
      <c r="C25" s="36" t="n">
        <v>17.32</v>
      </c>
      <c r="D25" s="32"/>
      <c r="E25" s="32"/>
      <c r="F25" s="36" t="n">
        <f aca="false">C25</f>
        <v>17.32</v>
      </c>
      <c r="K25" s="1"/>
      <c r="L25" s="1"/>
      <c r="M25" s="1"/>
      <c r="N25" s="1"/>
      <c r="O25" s="1"/>
    </row>
    <row r="27" customFormat="false" ht="14.25" hidden="false" customHeight="false" outlineLevel="0" collapsed="false">
      <c r="D27" s="2"/>
      <c r="K27" s="37"/>
    </row>
    <row r="28" customFormat="false" ht="15.75" hidden="false" customHeight="false" outlineLevel="0" collapsed="false">
      <c r="A28" s="3"/>
      <c r="B28" s="3" t="s">
        <v>29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O28" s="1"/>
    </row>
    <row r="29" customFormat="false" ht="14.25" hidden="false" customHeight="false" outlineLevel="0" collapsed="false">
      <c r="B29" s="38" t="s">
        <v>30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</row>
    <row r="30" customFormat="false" ht="14.25" hidden="false" customHeight="false" outlineLevel="0" collapsed="false">
      <c r="B30" s="39" t="s">
        <v>31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</row>
    <row r="31" customFormat="false" ht="14.25" hidden="false" customHeight="false" outlineLevel="0" collapsed="false">
      <c r="B31" s="38" t="s">
        <v>32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customFormat="false" ht="14.25" hidden="false" customHeight="false" outlineLevel="0" collapsed="false">
      <c r="B32" s="40" t="s">
        <v>33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customFormat="false" ht="14.25" hidden="false" customHeight="false" outlineLevel="0" collapsed="false">
      <c r="B33" s="38" t="s">
        <v>34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customFormat="false" ht="14.25" hidden="false" customHeight="false" outlineLevel="0" collapsed="false">
      <c r="B34" s="41" t="s">
        <v>35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customFormat="false" ht="14.25" hidden="false" customHeight="false" outlineLevel="0" collapsed="false">
      <c r="B35" s="40" t="s">
        <v>36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</row>
    <row r="36" customFormat="false" ht="26.1" hidden="false" customHeight="true" outlineLevel="0" collapsed="false">
      <c r="B36" s="42" t="s">
        <v>37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</row>
    <row r="37" customFormat="false" ht="14.25" hidden="false" customHeight="false" outlineLevel="0" collapsed="false">
      <c r="B37" s="38" t="s">
        <v>38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customFormat="false" ht="14.25" hidden="false" customHeight="false" outlineLevel="0" collapsed="false">
      <c r="B38" s="40" t="s">
        <v>39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O38" s="37"/>
    </row>
    <row r="39" customFormat="false" ht="14.25" hidden="false" customHeight="false" outlineLevel="0" collapsed="false">
      <c r="D39" s="2"/>
      <c r="O39" s="37"/>
    </row>
    <row r="40" customFormat="false" ht="15.75" hidden="false" customHeight="false" outlineLevel="0" collapsed="false">
      <c r="A40" s="3"/>
      <c r="B40" s="3" t="s">
        <v>40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7"/>
      <c r="O40" s="37"/>
    </row>
    <row r="41" customFormat="false" ht="14.25" hidden="false" customHeight="false" outlineLevel="0" collapsed="false">
      <c r="B41" s="38" t="s">
        <v>41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7"/>
      <c r="O41" s="37"/>
    </row>
    <row r="42" customFormat="false" ht="26.1" hidden="false" customHeight="true" outlineLevel="0" collapsed="false">
      <c r="B42" s="38" t="s">
        <v>42</v>
      </c>
      <c r="C42" s="43" t="s">
        <v>43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37"/>
      <c r="O42" s="37"/>
    </row>
    <row r="43" customFormat="false" ht="26.1" hidden="false" customHeight="true" outlineLevel="0" collapsed="false">
      <c r="B43" s="44" t="s">
        <v>44</v>
      </c>
      <c r="C43" s="45" t="s">
        <v>45</v>
      </c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37"/>
      <c r="O43" s="37"/>
    </row>
    <row r="44" customFormat="false" ht="14.25" hidden="false" customHeight="false" outlineLevel="0" collapsed="false">
      <c r="B44" s="46"/>
      <c r="C44" s="47" t="s">
        <v>46</v>
      </c>
      <c r="D44" s="47"/>
      <c r="E44" s="48" t="n">
        <v>1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customFormat="false" ht="14.25" hidden="false" customHeight="false" outlineLevel="0" collapsed="false">
      <c r="C45" s="47" t="s">
        <v>47</v>
      </c>
      <c r="D45" s="47"/>
      <c r="E45" s="48" t="n">
        <v>3.4932</v>
      </c>
      <c r="F45" s="37"/>
      <c r="G45" s="37" t="s">
        <v>48</v>
      </c>
      <c r="H45" s="37"/>
      <c r="I45" s="37"/>
      <c r="J45" s="37"/>
      <c r="K45" s="37"/>
      <c r="L45" s="37"/>
      <c r="M45" s="37"/>
      <c r="N45" s="37"/>
      <c r="O45" s="37"/>
    </row>
    <row r="46" customFormat="false" ht="14.25" hidden="false" customHeight="false" outlineLevel="0" collapsed="false">
      <c r="C46" s="47" t="s">
        <v>49</v>
      </c>
      <c r="D46" s="47"/>
      <c r="E46" s="48" t="n">
        <v>0.2688</v>
      </c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customFormat="false" ht="14.25" hidden="false" customHeight="false" outlineLevel="0" collapsed="false">
      <c r="C47" s="47" t="s">
        <v>50</v>
      </c>
      <c r="D47" s="47"/>
      <c r="E47" s="48" t="n">
        <v>0.0427</v>
      </c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customFormat="false" ht="14.25" hidden="false" customHeight="false" outlineLevel="0" collapsed="false">
      <c r="C48" s="47" t="s">
        <v>51</v>
      </c>
      <c r="D48" s="47"/>
      <c r="E48" s="48" t="n">
        <v>0.0355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customFormat="false" ht="14.25" hidden="false" customHeight="false" outlineLevel="0" collapsed="false">
      <c r="C49" s="47" t="s">
        <v>52</v>
      </c>
      <c r="D49" s="47"/>
      <c r="E49" s="49" t="n">
        <v>0.02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customFormat="false" ht="14.25" hidden="false" customHeight="false" outlineLevel="0" collapsed="false">
      <c r="C50" s="47" t="s">
        <v>53</v>
      </c>
      <c r="D50" s="47"/>
      <c r="E50" s="49" t="n">
        <v>0.004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customFormat="false" ht="14.25" hidden="false" customHeight="false" outlineLevel="0" collapsed="false">
      <c r="C51" s="47" t="s">
        <v>54</v>
      </c>
      <c r="D51" s="47"/>
      <c r="E51" s="48" t="n">
        <v>0.0098</v>
      </c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customFormat="false" ht="14.25" hidden="false" customHeight="false" outlineLevel="0" collapsed="false">
      <c r="C52" s="50" t="s">
        <v>55</v>
      </c>
      <c r="D52" s="50"/>
      <c r="E52" s="51" t="n">
        <f aca="false">SUM(E44:E51)</f>
        <v>4.874</v>
      </c>
      <c r="F52" s="1"/>
      <c r="G52" s="1"/>
      <c r="H52" s="1"/>
      <c r="I52" s="1"/>
      <c r="J52" s="1"/>
      <c r="K52" s="1"/>
      <c r="L52" s="1"/>
      <c r="M52" s="1"/>
      <c r="N52" s="37"/>
      <c r="O52" s="37"/>
    </row>
    <row r="53" customFormat="false" ht="14.25" hidden="false" customHeight="false" outlineLevel="0" collapsed="false">
      <c r="B53" s="52" t="s">
        <v>56</v>
      </c>
      <c r="C53" s="53" t="s">
        <v>57</v>
      </c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37"/>
      <c r="O53" s="37"/>
    </row>
    <row r="54" customFormat="false" ht="14.25" hidden="false" customHeight="false" outlineLevel="0" collapsed="false">
      <c r="B54" s="40" t="s">
        <v>58</v>
      </c>
      <c r="C54" s="40"/>
      <c r="D54" s="40"/>
      <c r="E54" s="40"/>
      <c r="F54" s="54" t="n">
        <v>0.015</v>
      </c>
      <c r="G54" s="55"/>
      <c r="H54" s="55"/>
      <c r="I54" s="55"/>
      <c r="J54" s="55"/>
      <c r="K54" s="55"/>
      <c r="L54" s="55"/>
      <c r="M54" s="56"/>
      <c r="N54" s="37"/>
      <c r="O54" s="37"/>
    </row>
    <row r="55" customFormat="false" ht="12.75" hidden="false" customHeight="true" outlineLevel="0" collapsed="false">
      <c r="B55" s="57" t="s">
        <v>59</v>
      </c>
      <c r="C55" s="58" t="n">
        <v>0.5167</v>
      </c>
      <c r="D55" s="55"/>
      <c r="E55" s="55"/>
      <c r="F55" s="55"/>
      <c r="G55" s="55"/>
      <c r="H55" s="55"/>
      <c r="I55" s="55"/>
      <c r="J55" s="55"/>
      <c r="K55" s="55"/>
      <c r="L55" s="55"/>
      <c r="M55" s="56"/>
      <c r="N55" s="37"/>
      <c r="O55" s="37"/>
    </row>
    <row r="56" customFormat="false" ht="26.1" hidden="false" customHeight="true" outlineLevel="0" collapsed="false">
      <c r="B56" s="59" t="s">
        <v>60</v>
      </c>
      <c r="C56" s="60" t="s">
        <v>61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37"/>
      <c r="O56" s="37"/>
    </row>
    <row r="57" customFormat="false" ht="12.75" hidden="false" customHeight="true" outlineLevel="0" collapsed="false">
      <c r="B57" s="61" t="s">
        <v>62</v>
      </c>
      <c r="C57" s="62" t="n">
        <v>0.9659</v>
      </c>
      <c r="D57" s="63"/>
      <c r="E57" s="63"/>
      <c r="F57" s="63"/>
      <c r="G57" s="63"/>
      <c r="H57" s="63"/>
      <c r="I57" s="63"/>
      <c r="J57" s="63"/>
      <c r="K57" s="63"/>
      <c r="L57" s="63"/>
      <c r="M57" s="64"/>
      <c r="N57" s="37"/>
      <c r="O57" s="37"/>
    </row>
    <row r="58" customFormat="false" ht="14.25" hidden="false" customHeight="false" outlineLevel="0" collapsed="false">
      <c r="B58" s="65" t="s">
        <v>63</v>
      </c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37"/>
      <c r="O58" s="37"/>
    </row>
    <row r="59" customFormat="false" ht="33" hidden="false" customHeight="true" outlineLevel="0" collapsed="false">
      <c r="B59" s="66" t="s">
        <v>64</v>
      </c>
      <c r="C59" s="67" t="s">
        <v>65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37"/>
      <c r="O59" s="37"/>
    </row>
    <row r="60" customFormat="false" ht="12.75" hidden="false" customHeight="true" outlineLevel="0" collapsed="false">
      <c r="B60" s="68" t="s">
        <v>66</v>
      </c>
      <c r="C60" s="69" t="n">
        <v>0.4833</v>
      </c>
      <c r="D60" s="70"/>
      <c r="E60" s="70"/>
      <c r="F60" s="70"/>
      <c r="G60" s="70"/>
      <c r="H60" s="70"/>
      <c r="I60" s="70"/>
      <c r="J60" s="70"/>
      <c r="K60" s="70"/>
      <c r="L60" s="70"/>
      <c r="M60" s="71"/>
      <c r="N60" s="37"/>
      <c r="O60" s="37"/>
    </row>
    <row r="61" customFormat="false" ht="12.75" hidden="false" customHeight="true" outlineLevel="0" collapsed="false">
      <c r="B61" s="61" t="s">
        <v>67</v>
      </c>
      <c r="C61" s="62" t="n">
        <v>0.0032</v>
      </c>
      <c r="D61" s="72"/>
      <c r="E61" s="63"/>
      <c r="F61" s="63"/>
      <c r="G61" s="63"/>
      <c r="H61" s="63"/>
      <c r="I61" s="63"/>
      <c r="J61" s="63"/>
      <c r="K61" s="63"/>
      <c r="L61" s="63"/>
      <c r="M61" s="64"/>
      <c r="N61" s="37"/>
      <c r="O61" s="37"/>
    </row>
    <row r="62" customFormat="false" ht="12.75" hidden="false" customHeight="true" outlineLevel="0" collapsed="false">
      <c r="B62" s="73"/>
      <c r="C62" s="74"/>
      <c r="D62" s="74"/>
      <c r="E62" s="73"/>
      <c r="F62" s="73"/>
      <c r="G62" s="73"/>
      <c r="H62" s="73"/>
      <c r="I62" s="73"/>
      <c r="J62" s="73"/>
      <c r="K62" s="73"/>
      <c r="L62" s="73"/>
      <c r="M62" s="73"/>
      <c r="N62" s="37"/>
      <c r="O62" s="37"/>
    </row>
    <row r="63" customFormat="false" ht="12.75" hidden="false" customHeight="true" outlineLevel="0" collapsed="false">
      <c r="A63" s="3"/>
      <c r="B63" s="75" t="s">
        <v>68</v>
      </c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37"/>
      <c r="O63" s="37"/>
    </row>
    <row r="64" customFormat="false" ht="12.75" hidden="false" customHeight="true" outlineLevel="0" collapsed="false">
      <c r="B64" s="76" t="s">
        <v>69</v>
      </c>
      <c r="C64" s="77" t="n">
        <v>0.03</v>
      </c>
      <c r="D64" s="74"/>
      <c r="E64" s="73"/>
      <c r="F64" s="73"/>
      <c r="G64" s="73"/>
      <c r="H64" s="73"/>
      <c r="I64" s="73"/>
      <c r="J64" s="73"/>
      <c r="K64" s="73"/>
      <c r="L64" s="73"/>
      <c r="M64" s="73"/>
      <c r="N64" s="37"/>
      <c r="O64" s="37"/>
    </row>
    <row r="65" customFormat="false" ht="12.75" hidden="false" customHeight="true" outlineLevel="0" collapsed="false">
      <c r="B65" s="44" t="s">
        <v>70</v>
      </c>
      <c r="C65" s="77" t="n">
        <v>0.0679</v>
      </c>
      <c r="D65" s="74"/>
      <c r="E65" s="73"/>
      <c r="F65" s="73"/>
      <c r="G65" s="73"/>
      <c r="H65" s="73"/>
      <c r="I65" s="73"/>
      <c r="J65" s="73"/>
      <c r="K65" s="73"/>
      <c r="L65" s="73"/>
      <c r="M65" s="73"/>
      <c r="N65" s="37"/>
      <c r="O65" s="37"/>
    </row>
    <row r="66" customFormat="false" ht="14.25" hidden="false" customHeight="false" outlineLevel="0" collapsed="false">
      <c r="N66" s="37"/>
      <c r="O66" s="37"/>
    </row>
    <row r="67" customFormat="false" ht="16.5" hidden="false" customHeight="false" outlineLevel="0" collapsed="false">
      <c r="A67" s="3"/>
      <c r="B67" s="3" t="s">
        <v>71</v>
      </c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customFormat="false" ht="14.25" hidden="false" customHeight="false" outlineLevel="0" collapsed="false">
      <c r="B68" s="78" t="s">
        <v>72</v>
      </c>
      <c r="C68" s="78"/>
      <c r="D68" s="79" t="s">
        <v>73</v>
      </c>
      <c r="E68" s="79" t="s">
        <v>74</v>
      </c>
      <c r="F68" s="80" t="s">
        <v>75</v>
      </c>
      <c r="G68" s="81" t="s">
        <v>76</v>
      </c>
      <c r="J68" s="1"/>
      <c r="K68" s="1"/>
      <c r="L68" s="1"/>
      <c r="M68" s="1"/>
      <c r="N68" s="1"/>
      <c r="O68" s="1"/>
    </row>
    <row r="69" customFormat="false" ht="14.25" hidden="false" customHeight="false" outlineLevel="0" collapsed="false">
      <c r="B69" s="82" t="s">
        <v>77</v>
      </c>
      <c r="C69" s="82"/>
      <c r="D69" s="83" t="n">
        <v>0.02</v>
      </c>
      <c r="E69" s="84" t="n">
        <v>4.2</v>
      </c>
      <c r="F69" s="85" t="n">
        <f aca="false">SUM('Prod. GEXSTM'!P4:U4)+'Prod. GEXSTM'!V4</f>
        <v>2</v>
      </c>
      <c r="G69" s="86" t="n">
        <f aca="false">F69*E69</f>
        <v>8.4</v>
      </c>
      <c r="J69" s="1"/>
      <c r="K69" s="1"/>
      <c r="L69" s="1"/>
      <c r="M69" s="1"/>
      <c r="N69" s="1"/>
      <c r="O69" s="1"/>
    </row>
    <row r="70" customFormat="false" ht="14.25" hidden="false" customHeight="false" outlineLevel="0" collapsed="false">
      <c r="B70" s="82" t="s">
        <v>78</v>
      </c>
      <c r="C70" s="82"/>
      <c r="D70" s="83" t="n">
        <v>0.02</v>
      </c>
      <c r="E70" s="87" t="n">
        <v>3.45</v>
      </c>
      <c r="F70" s="85" t="n">
        <f aca="false">SUM('Prod. GEXSTM'!P5:U5)</f>
        <v>1</v>
      </c>
      <c r="G70" s="86" t="n">
        <f aca="false">F70*E70</f>
        <v>3.45</v>
      </c>
      <c r="J70" s="1"/>
      <c r="K70" s="1"/>
      <c r="L70" s="1"/>
      <c r="M70" s="1"/>
      <c r="N70" s="1"/>
      <c r="O70" s="1"/>
    </row>
    <row r="71" customFormat="false" ht="14.25" hidden="false" customHeight="false" outlineLevel="0" collapsed="false">
      <c r="B71" s="82" t="s">
        <v>79</v>
      </c>
      <c r="C71" s="82"/>
      <c r="D71" s="83" t="n">
        <v>0.025</v>
      </c>
      <c r="E71" s="87" t="n">
        <v>3.7</v>
      </c>
      <c r="F71" s="85" t="n">
        <f aca="false">SUM('Prod. GEXSTM'!P6:U6)</f>
        <v>3</v>
      </c>
      <c r="G71" s="86" t="n">
        <f aca="false">F71*E71</f>
        <v>11.1</v>
      </c>
      <c r="J71" s="1"/>
      <c r="K71" s="1"/>
      <c r="L71" s="1"/>
      <c r="M71" s="1"/>
      <c r="N71" s="1"/>
      <c r="O71" s="1"/>
    </row>
    <row r="72" customFormat="false" ht="14.25" hidden="false" customHeight="false" outlineLevel="0" collapsed="false">
      <c r="B72" s="82" t="s">
        <v>80</v>
      </c>
      <c r="C72" s="82"/>
      <c r="D72" s="83" t="n">
        <v>0.03</v>
      </c>
      <c r="E72" s="87" t="n">
        <v>3.2</v>
      </c>
      <c r="F72" s="85" t="n">
        <f aca="false">SUM('Prod. GEXSTM'!P7:U7)</f>
        <v>1</v>
      </c>
      <c r="G72" s="86" t="n">
        <f aca="false">F72*E72</f>
        <v>3.2</v>
      </c>
      <c r="J72" s="1"/>
      <c r="K72" s="1"/>
      <c r="L72" s="1"/>
      <c r="M72" s="1"/>
      <c r="N72" s="1"/>
      <c r="O72" s="1"/>
    </row>
    <row r="73" customFormat="false" ht="14.25" hidden="false" customHeight="false" outlineLevel="0" collapsed="false">
      <c r="B73" s="82" t="s">
        <v>81</v>
      </c>
      <c r="C73" s="82"/>
      <c r="D73" s="83" t="n">
        <v>0.03</v>
      </c>
      <c r="E73" s="87" t="n">
        <v>2.75</v>
      </c>
      <c r="F73" s="85" t="n">
        <f aca="false">SUM('Prod. GEXSTM'!P8:U8)</f>
        <v>3</v>
      </c>
      <c r="G73" s="86" t="n">
        <f aca="false">F73*E73</f>
        <v>8.25</v>
      </c>
      <c r="J73" s="1"/>
      <c r="K73" s="1"/>
      <c r="L73" s="1"/>
      <c r="M73" s="1"/>
      <c r="N73" s="1"/>
      <c r="O73" s="1"/>
    </row>
    <row r="74" customFormat="false" ht="14.25" hidden="false" customHeight="false" outlineLevel="0" collapsed="false">
      <c r="B74" s="82" t="s">
        <v>82</v>
      </c>
      <c r="C74" s="82"/>
      <c r="D74" s="83" t="n">
        <v>0.02</v>
      </c>
      <c r="E74" s="87" t="n">
        <v>4.45</v>
      </c>
      <c r="F74" s="85" t="n">
        <f aca="false">SUM('Prod. GEXSTM'!P9:U9)</f>
        <v>5</v>
      </c>
      <c r="G74" s="86" t="n">
        <f aca="false">F74*E74</f>
        <v>22.25</v>
      </c>
      <c r="J74" s="1"/>
      <c r="K74" s="1"/>
      <c r="L74" s="1"/>
      <c r="M74" s="1"/>
      <c r="N74" s="1"/>
      <c r="O74" s="1"/>
    </row>
    <row r="75" customFormat="false" ht="14.25" hidden="false" customHeight="false" outlineLevel="0" collapsed="false">
      <c r="B75" s="82" t="s">
        <v>83</v>
      </c>
      <c r="C75" s="82"/>
      <c r="D75" s="83" t="n">
        <v>0.02</v>
      </c>
      <c r="E75" s="87" t="n">
        <v>4.2</v>
      </c>
      <c r="F75" s="85" t="n">
        <f aca="false">SUM('Prod. GEXSTM'!P10:U10)</f>
        <v>7</v>
      </c>
      <c r="G75" s="86" t="n">
        <f aca="false">F75*E75</f>
        <v>29.4</v>
      </c>
      <c r="J75" s="1"/>
      <c r="K75" s="1"/>
      <c r="L75" s="1"/>
      <c r="M75" s="1"/>
      <c r="N75" s="1"/>
      <c r="O75" s="1"/>
    </row>
    <row r="76" customFormat="false" ht="14.25" hidden="false" customHeight="false" outlineLevel="0" collapsed="false">
      <c r="B76" s="82" t="s">
        <v>84</v>
      </c>
      <c r="C76" s="82"/>
      <c r="D76" s="83" t="n">
        <v>0.02</v>
      </c>
      <c r="E76" s="87" t="n">
        <v>3.45</v>
      </c>
      <c r="F76" s="85" t="n">
        <f aca="false">SUM('Prod. GEXSTM'!P11:U11)</f>
        <v>3</v>
      </c>
      <c r="G76" s="86" t="n">
        <f aca="false">F76*E76</f>
        <v>10.35</v>
      </c>
      <c r="J76" s="1"/>
      <c r="K76" s="1"/>
      <c r="L76" s="1"/>
      <c r="M76" s="1"/>
      <c r="N76" s="1"/>
      <c r="O76" s="1"/>
    </row>
    <row r="77" customFormat="false" ht="14.25" hidden="false" customHeight="false" outlineLevel="0" collapsed="false">
      <c r="B77" s="82" t="s">
        <v>85</v>
      </c>
      <c r="C77" s="82"/>
      <c r="D77" s="83" t="n">
        <v>0.02</v>
      </c>
      <c r="E77" s="87" t="n">
        <v>4.4</v>
      </c>
      <c r="F77" s="85" t="n">
        <f aca="false">SUM('Prod. GEXSTM'!P12:U12)</f>
        <v>2</v>
      </c>
      <c r="G77" s="86" t="n">
        <f aca="false">F77*E77</f>
        <v>8.8</v>
      </c>
      <c r="J77" s="1"/>
      <c r="K77" s="1"/>
      <c r="L77" s="1"/>
      <c r="M77" s="1"/>
      <c r="N77" s="1"/>
      <c r="O77" s="1"/>
    </row>
    <row r="78" customFormat="false" ht="14.25" hidden="false" customHeight="false" outlineLevel="0" collapsed="false">
      <c r="B78" s="82" t="s">
        <v>86</v>
      </c>
      <c r="C78" s="82"/>
      <c r="D78" s="83" t="n">
        <v>0.025</v>
      </c>
      <c r="E78" s="87" t="n">
        <v>4</v>
      </c>
      <c r="F78" s="85" t="n">
        <f aca="false">SUM('Prod. GEXSTM'!P13:U13)</f>
        <v>1</v>
      </c>
      <c r="G78" s="86" t="n">
        <f aca="false">F78*E78</f>
        <v>4</v>
      </c>
      <c r="J78" s="1"/>
      <c r="K78" s="1"/>
      <c r="L78" s="1"/>
      <c r="M78" s="1"/>
      <c r="N78" s="1"/>
      <c r="O78" s="1"/>
    </row>
    <row r="79" customFormat="false" ht="14.25" hidden="false" customHeight="false" outlineLevel="0" collapsed="false">
      <c r="B79" s="82" t="s">
        <v>87</v>
      </c>
      <c r="C79" s="82"/>
      <c r="D79" s="83" t="n">
        <v>0.025</v>
      </c>
      <c r="E79" s="87" t="n">
        <v>3.2</v>
      </c>
      <c r="F79" s="85" t="n">
        <f aca="false">SUM('Prod. GEXSTM'!P14:U14)</f>
        <v>1</v>
      </c>
      <c r="G79" s="86" t="n">
        <f aca="false">F79*E79</f>
        <v>3.2</v>
      </c>
      <c r="J79" s="1"/>
      <c r="K79" s="1"/>
      <c r="L79" s="1"/>
      <c r="M79" s="1"/>
      <c r="N79" s="1"/>
      <c r="O79" s="1"/>
    </row>
    <row r="80" customFormat="false" ht="14.25" hidden="false" customHeight="false" outlineLevel="0" collapsed="false">
      <c r="B80" s="82" t="s">
        <v>88</v>
      </c>
      <c r="C80" s="82"/>
      <c r="D80" s="83" t="n">
        <v>0.03</v>
      </c>
      <c r="E80" s="87" t="n">
        <v>3.4</v>
      </c>
      <c r="F80" s="85" t="n">
        <f aca="false">SUM('Prod. GEXSTM'!P15:U15)</f>
        <v>2</v>
      </c>
      <c r="G80" s="86" t="n">
        <f aca="false">F80*E80</f>
        <v>6.8</v>
      </c>
      <c r="J80" s="1"/>
      <c r="K80" s="1"/>
      <c r="L80" s="1"/>
      <c r="M80" s="1"/>
      <c r="N80" s="1"/>
      <c r="O80" s="1"/>
    </row>
    <row r="81" customFormat="false" ht="14.25" hidden="false" customHeight="false" outlineLevel="0" collapsed="false">
      <c r="B81" s="82" t="s">
        <v>89</v>
      </c>
      <c r="C81" s="82"/>
      <c r="D81" s="83" t="n">
        <v>0.025</v>
      </c>
      <c r="E81" s="87" t="n">
        <v>3.9</v>
      </c>
      <c r="F81" s="85" t="n">
        <f aca="false">SUM('Prod. GEXSTM'!P16:U16)</f>
        <v>1</v>
      </c>
      <c r="G81" s="86" t="n">
        <f aca="false">F81*E81</f>
        <v>3.9</v>
      </c>
      <c r="J81" s="1"/>
      <c r="K81" s="1"/>
      <c r="L81" s="1"/>
      <c r="M81" s="1"/>
      <c r="N81" s="1"/>
      <c r="O81" s="1"/>
    </row>
    <row r="82" customFormat="false" ht="14.25" hidden="false" customHeight="false" outlineLevel="0" collapsed="false">
      <c r="B82" s="82" t="s">
        <v>90</v>
      </c>
      <c r="C82" s="82"/>
      <c r="D82" s="83" t="n">
        <v>0.035</v>
      </c>
      <c r="E82" s="87" t="n">
        <v>2.95</v>
      </c>
      <c r="F82" s="85" t="n">
        <f aca="false">SUM('Prod. GEXSTM'!P17:U17)</f>
        <v>1</v>
      </c>
      <c r="G82" s="86" t="n">
        <f aca="false">F82*E82</f>
        <v>2.95</v>
      </c>
      <c r="J82" s="1"/>
      <c r="K82" s="1"/>
      <c r="L82" s="1"/>
      <c r="M82" s="1"/>
      <c r="N82" s="1"/>
      <c r="O82" s="1"/>
    </row>
    <row r="83" customFormat="false" ht="14.25" hidden="false" customHeight="false" outlineLevel="0" collapsed="false">
      <c r="B83" s="88" t="s">
        <v>91</v>
      </c>
      <c r="C83" s="88"/>
      <c r="E83" s="89" t="n">
        <f aca="false">AVERAGE(E69:E82)</f>
        <v>3.66071428571429</v>
      </c>
      <c r="F83" s="85" t="n">
        <f aca="false">SUM(F69:F82)</f>
        <v>33</v>
      </c>
      <c r="G83" s="86" t="n">
        <f aca="false">SUM(G69:G82)</f>
        <v>126.05</v>
      </c>
      <c r="J83" s="1"/>
      <c r="K83" s="1"/>
      <c r="L83" s="1"/>
      <c r="M83" s="1"/>
      <c r="N83" s="1"/>
      <c r="O83" s="1"/>
    </row>
    <row r="84" customFormat="false" ht="14.25" hidden="false" customHeight="false" outlineLevel="0" collapsed="false">
      <c r="B84" s="90" t="s">
        <v>92</v>
      </c>
      <c r="C84" s="90"/>
      <c r="D84" s="91"/>
      <c r="E84" s="92" t="n">
        <f aca="false">G83/F83</f>
        <v>3.81969696969697</v>
      </c>
      <c r="F84" s="93"/>
      <c r="G84" s="94"/>
      <c r="J84" s="1"/>
      <c r="K84" s="1"/>
      <c r="L84" s="1"/>
      <c r="M84" s="1"/>
      <c r="N84" s="1"/>
      <c r="O84" s="1"/>
    </row>
    <row r="85" customFormat="false" ht="14.25" hidden="false" customHeight="false" outlineLevel="0" collapsed="false">
      <c r="B85" s="2"/>
      <c r="C85" s="2"/>
      <c r="D85" s="2"/>
      <c r="F85" s="95"/>
      <c r="G85" s="95"/>
      <c r="J85" s="1"/>
      <c r="K85" s="1"/>
      <c r="L85" s="1"/>
      <c r="M85" s="1"/>
      <c r="N85" s="1"/>
      <c r="O85" s="1"/>
    </row>
    <row r="86" customFormat="false" ht="14.25" hidden="false" customHeight="false" outlineLevel="0" collapsed="false">
      <c r="B86" s="2"/>
      <c r="C86" s="2"/>
      <c r="D86" s="2"/>
      <c r="J86" s="1"/>
      <c r="K86" s="1"/>
      <c r="L86" s="1"/>
      <c r="M86" s="1"/>
      <c r="N86" s="1"/>
      <c r="O86" s="1"/>
    </row>
    <row r="87" customFormat="false" ht="14.25" hidden="false" customHeight="false" outlineLevel="0" collapsed="false">
      <c r="B87" s="2"/>
      <c r="C87" s="2"/>
      <c r="D87" s="2"/>
      <c r="J87" s="1"/>
      <c r="K87" s="1"/>
      <c r="L87" s="1"/>
      <c r="M87" s="1"/>
      <c r="N87" s="1"/>
      <c r="O87" s="1"/>
    </row>
    <row r="88" customFormat="false" ht="14.25" hidden="false" customHeight="false" outlineLevel="0" collapsed="false">
      <c r="B88" s="2"/>
      <c r="C88" s="2"/>
      <c r="D88" s="2"/>
      <c r="J88" s="1"/>
      <c r="K88" s="1"/>
      <c r="L88" s="1"/>
      <c r="M88" s="1"/>
      <c r="N88" s="1"/>
      <c r="O88" s="1"/>
    </row>
    <row r="89" customFormat="false" ht="14.25" hidden="false" customHeight="false" outlineLevel="0" collapsed="false">
      <c r="B89" s="2"/>
      <c r="C89" s="2"/>
      <c r="D89" s="2"/>
      <c r="J89" s="1"/>
      <c r="K89" s="1"/>
      <c r="L89" s="1"/>
      <c r="M89" s="1"/>
      <c r="N89" s="1"/>
      <c r="O89" s="1"/>
    </row>
    <row r="90" customFormat="false" ht="14.25" hidden="false" customHeight="false" outlineLevel="0" collapsed="false">
      <c r="B90" s="2"/>
      <c r="C90" s="2"/>
      <c r="D90" s="2"/>
      <c r="J90" s="1"/>
      <c r="K90" s="1"/>
      <c r="L90" s="1"/>
      <c r="M90" s="1"/>
      <c r="N90" s="1"/>
      <c r="O90" s="1"/>
    </row>
    <row r="91" customFormat="false" ht="14.25" hidden="false" customHeight="false" outlineLevel="0" collapsed="false">
      <c r="B91" s="2"/>
      <c r="C91" s="2"/>
      <c r="D91" s="2"/>
      <c r="J91" s="1"/>
      <c r="K91" s="1"/>
      <c r="L91" s="1"/>
      <c r="M91" s="1"/>
      <c r="N91" s="1"/>
      <c r="O91" s="1"/>
    </row>
    <row r="92" customFormat="false" ht="14.25" hidden="false" customHeight="false" outlineLevel="0" collapsed="false">
      <c r="B92" s="2"/>
      <c r="C92" s="2"/>
      <c r="D92" s="2"/>
      <c r="J92" s="1"/>
      <c r="K92" s="1"/>
      <c r="L92" s="1"/>
      <c r="M92" s="1"/>
      <c r="N92" s="1"/>
      <c r="O92" s="1"/>
    </row>
    <row r="93" customFormat="false" ht="14.25" hidden="false" customHeight="false" outlineLevel="0" collapsed="false">
      <c r="B93" s="2"/>
      <c r="C93" s="2"/>
      <c r="D93" s="2"/>
      <c r="J93" s="1"/>
      <c r="K93" s="1"/>
      <c r="L93" s="1"/>
      <c r="M93" s="1"/>
      <c r="N93" s="1"/>
      <c r="O93" s="1"/>
    </row>
    <row r="94" customFormat="false" ht="14.25" hidden="false" customHeight="false" outlineLevel="0" collapsed="false">
      <c r="B94" s="2"/>
      <c r="C94" s="2"/>
      <c r="D94" s="2"/>
      <c r="J94" s="1"/>
      <c r="K94" s="1"/>
      <c r="L94" s="1"/>
      <c r="M94" s="1"/>
      <c r="N94" s="1"/>
      <c r="O94" s="1"/>
    </row>
    <row r="95" customFormat="false" ht="14.25" hidden="false" customHeight="false" outlineLevel="0" collapsed="false">
      <c r="B95" s="2"/>
      <c r="C95" s="2"/>
      <c r="D95" s="2"/>
      <c r="J95" s="1"/>
      <c r="K95" s="1"/>
      <c r="L95" s="1"/>
      <c r="M95" s="1"/>
      <c r="N95" s="1"/>
      <c r="O95" s="1"/>
    </row>
    <row r="96" customFormat="false" ht="14.25" hidden="false" customHeight="false" outlineLevel="0" collapsed="false">
      <c r="B96" s="2"/>
      <c r="C96" s="2"/>
      <c r="D96" s="2"/>
      <c r="J96" s="1"/>
      <c r="K96" s="1"/>
      <c r="L96" s="1"/>
      <c r="M96" s="1"/>
      <c r="N96" s="1"/>
      <c r="O96" s="1"/>
    </row>
    <row r="97" customFormat="false" ht="14.25" hidden="false" customHeight="false" outlineLevel="0" collapsed="false">
      <c r="B97" s="2"/>
      <c r="C97" s="2"/>
      <c r="D97" s="2"/>
      <c r="J97" s="1"/>
      <c r="K97" s="1"/>
      <c r="L97" s="1"/>
      <c r="M97" s="1"/>
      <c r="N97" s="1"/>
      <c r="O97" s="1"/>
    </row>
    <row r="98" customFormat="false" ht="14.25" hidden="false" customHeight="false" outlineLevel="0" collapsed="false">
      <c r="B98" s="2"/>
      <c r="C98" s="2"/>
      <c r="D98" s="2"/>
      <c r="J98" s="1"/>
      <c r="K98" s="1"/>
      <c r="L98" s="1"/>
      <c r="M98" s="1"/>
      <c r="N98" s="1"/>
      <c r="O98" s="1"/>
    </row>
    <row r="65442" customFormat="false" ht="12.75" hidden="false" customHeight="true" outlineLevel="0" collapsed="false"/>
    <row r="65443" customFormat="false" ht="12.75" hidden="false" customHeight="true" outlineLevel="0" collapsed="false"/>
    <row r="65444" customFormat="false" ht="12.75" hidden="false" customHeight="true" outlineLevel="0" collapsed="false"/>
    <row r="65445" customFormat="false" ht="12.75" hidden="false" customHeight="true" outlineLevel="0" collapsed="false"/>
    <row r="65446" customFormat="false" ht="12.75" hidden="false" customHeight="true" outlineLevel="0" collapsed="false"/>
    <row r="65447" customFormat="false" ht="12.75" hidden="false" customHeight="true" outlineLevel="0" collapsed="false"/>
    <row r="65448" customFormat="false" ht="12.75" hidden="false" customHeight="true" outlineLevel="0" collapsed="false"/>
    <row r="65449" customFormat="false" ht="12.75" hidden="false" customHeight="true" outlineLevel="0" collapsed="false"/>
    <row r="1048490" customFormat="false" ht="12.75" hidden="false" customHeight="true" outlineLevel="0" collapsed="false"/>
    <row r="1048491" customFormat="false" ht="12.75" hidden="false" customHeight="true" outlineLevel="0" collapsed="false"/>
    <row r="1048492" customFormat="false" ht="12.75" hidden="false" customHeight="true" outlineLevel="0" collapsed="false"/>
    <row r="1048493" customFormat="false" ht="12.75" hidden="false" customHeight="true" outlineLevel="0" collapsed="false"/>
    <row r="1048494" customFormat="false" ht="12.75" hidden="false" customHeight="true" outlineLevel="0" collapsed="false"/>
    <row r="1048495" customFormat="false" ht="12.75" hidden="false" customHeight="true" outlineLevel="0" collapsed="false"/>
    <row r="1048496" customFormat="false" ht="12.75" hidden="false" customHeight="true" outlineLevel="0" collapsed="false"/>
    <row r="1048497" customFormat="false" ht="12.75" hidden="false" customHeight="true" outlineLevel="0" collapsed="false"/>
    <row r="1048498" customFormat="false" ht="12.75" hidden="false" customHeight="true" outlineLevel="0" collapsed="false"/>
    <row r="1048499" customFormat="false" ht="12.75" hidden="false" customHeight="true" outlineLevel="0" collapsed="false"/>
    <row r="1048500" customFormat="false" ht="12.75" hidden="false" customHeight="true" outlineLevel="0" collapsed="false"/>
    <row r="1048501" customFormat="false" ht="12.75" hidden="false" customHeight="true" outlineLevel="0" collapsed="false"/>
    <row r="1048502" customFormat="false" ht="12.75" hidden="false" customHeight="true" outlineLevel="0" collapsed="false"/>
    <row r="1048503" customFormat="false" ht="12.75" hidden="false" customHeight="true" outlineLevel="0" collapsed="false"/>
    <row r="1048504" customFormat="false" ht="12.75" hidden="false" customHeight="true" outlineLevel="0" collapsed="false"/>
  </sheetData>
  <mergeCells count="56">
    <mergeCell ref="B1:M1"/>
    <mergeCell ref="C3:D3"/>
    <mergeCell ref="C4:D4"/>
    <mergeCell ref="B6:M6"/>
    <mergeCell ref="C7:D7"/>
    <mergeCell ref="C8:D8"/>
    <mergeCell ref="C9:F9"/>
    <mergeCell ref="B15:M15"/>
    <mergeCell ref="B28:M28"/>
    <mergeCell ref="B29:M29"/>
    <mergeCell ref="B30:M30"/>
    <mergeCell ref="B31:M31"/>
    <mergeCell ref="B32:M32"/>
    <mergeCell ref="B33:M33"/>
    <mergeCell ref="B34:M34"/>
    <mergeCell ref="B35:M35"/>
    <mergeCell ref="B36:M36"/>
    <mergeCell ref="B37:M37"/>
    <mergeCell ref="B38:M38"/>
    <mergeCell ref="B40:M40"/>
    <mergeCell ref="B41:M41"/>
    <mergeCell ref="C42:M42"/>
    <mergeCell ref="C43:M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M53"/>
    <mergeCell ref="B54:E54"/>
    <mergeCell ref="C56:M56"/>
    <mergeCell ref="B58:M58"/>
    <mergeCell ref="C59:M59"/>
    <mergeCell ref="B63:M63"/>
    <mergeCell ref="B67:M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C55A11"/>
    <pageSetUpPr fitToPage="false"/>
  </sheetPr>
  <dimension ref="A1:S147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0" topLeftCell="C1" activePane="topRight" state="frozen"/>
      <selection pane="topLeft" activeCell="A1" activeCellId="0" sqref="A1"/>
      <selection pane="topRight" activeCell="A86" activeCellId="0" sqref="A86"/>
    </sheetView>
  </sheetViews>
  <sheetFormatPr defaultRowHeight="14.25" zeroHeight="false" outlineLevelRow="0" outlineLevelCol="0"/>
  <cols>
    <col collapsed="false" customWidth="true" hidden="false" outlineLevel="0" max="1" min="1" style="96" width="51.13"/>
    <col collapsed="false" customWidth="true" hidden="false" outlineLevel="0" max="2" min="2" style="96" width="15.51"/>
    <col collapsed="false" customWidth="true" hidden="false" outlineLevel="0" max="4" min="3" style="96" width="15.62"/>
    <col collapsed="false" customWidth="true" hidden="false" outlineLevel="0" max="5" min="5" style="96" width="16"/>
    <col collapsed="false" customWidth="true" hidden="false" outlineLevel="0" max="6" min="6" style="96" width="17.38"/>
    <col collapsed="false" customWidth="true" hidden="false" outlineLevel="0" max="7" min="7" style="96" width="16.5"/>
    <col collapsed="false" customWidth="true" hidden="false" outlineLevel="0" max="9" min="8" style="96" width="15.25"/>
    <col collapsed="false" customWidth="true" hidden="false" outlineLevel="0" max="11" min="10" style="96" width="16"/>
    <col collapsed="false" customWidth="true" hidden="false" outlineLevel="0" max="12" min="12" style="96" width="10.5"/>
    <col collapsed="false" customWidth="true" hidden="false" outlineLevel="0" max="1025" min="13" style="96" width="9"/>
  </cols>
  <sheetData>
    <row r="1" s="98" customFormat="true" ht="20.25" hidden="false" customHeight="true" outlineLevel="0" collapsed="false">
      <c r="A1" s="97" t="s">
        <v>93</v>
      </c>
      <c r="B1" s="97"/>
      <c r="C1" s="97"/>
      <c r="D1" s="97"/>
      <c r="E1" s="97"/>
      <c r="F1" s="97"/>
      <c r="G1" s="97"/>
      <c r="H1" s="97"/>
      <c r="J1" s="99" t="s">
        <v>94</v>
      </c>
      <c r="K1" s="100"/>
      <c r="L1" s="101"/>
      <c r="M1" s="100"/>
      <c r="N1" s="100"/>
      <c r="O1" s="100"/>
      <c r="P1" s="100"/>
      <c r="Q1" s="100"/>
      <c r="R1" s="100"/>
      <c r="S1" s="102"/>
    </row>
    <row r="2" customFormat="false" ht="52.5" hidden="false" customHeight="true" outlineLevel="0" collapsed="false">
      <c r="A2" s="103" t="s">
        <v>95</v>
      </c>
      <c r="B2" s="104" t="s">
        <v>96</v>
      </c>
      <c r="C2" s="104" t="s">
        <v>97</v>
      </c>
      <c r="D2" s="104" t="s">
        <v>98</v>
      </c>
      <c r="E2" s="104" t="s">
        <v>99</v>
      </c>
      <c r="F2" s="105" t="s">
        <v>100</v>
      </c>
      <c r="G2" s="106" t="s">
        <v>101</v>
      </c>
      <c r="H2" s="107" t="s">
        <v>102</v>
      </c>
      <c r="J2" s="108" t="s">
        <v>103</v>
      </c>
      <c r="K2" s="109"/>
      <c r="L2" s="109"/>
      <c r="M2" s="109"/>
      <c r="N2" s="109"/>
      <c r="O2" s="109"/>
      <c r="P2" s="109"/>
      <c r="Q2" s="109"/>
      <c r="R2" s="109"/>
      <c r="S2" s="110"/>
    </row>
    <row r="3" customFormat="false" ht="15" hidden="false" customHeight="true" outlineLevel="0" collapsed="false">
      <c r="A3" s="111" t="s">
        <v>104</v>
      </c>
      <c r="B3" s="112" t="s">
        <v>105</v>
      </c>
      <c r="C3" s="113" t="n">
        <v>0.31</v>
      </c>
      <c r="D3" s="114" t="n">
        <v>6.61</v>
      </c>
      <c r="E3" s="114" t="n">
        <v>7.33</v>
      </c>
      <c r="F3" s="115" t="n">
        <f aca="false">(D3+E3)/2</f>
        <v>6.97</v>
      </c>
      <c r="G3" s="116" t="n">
        <f aca="false">C3*F3</f>
        <v>2.1607</v>
      </c>
      <c r="H3" s="117" t="s">
        <v>106</v>
      </c>
      <c r="J3" s="118" t="s">
        <v>107</v>
      </c>
      <c r="K3" s="119"/>
      <c r="L3" s="119"/>
      <c r="M3" s="119"/>
      <c r="N3" s="119"/>
      <c r="O3" s="119"/>
      <c r="P3" s="119"/>
      <c r="Q3" s="119"/>
      <c r="R3" s="119"/>
      <c r="S3" s="120"/>
    </row>
    <row r="4" customFormat="false" ht="15" hidden="false" customHeight="true" outlineLevel="0" collapsed="false">
      <c r="A4" s="111" t="s">
        <v>108</v>
      </c>
      <c r="B4" s="112" t="s">
        <v>105</v>
      </c>
      <c r="C4" s="113" t="n">
        <v>4.74</v>
      </c>
      <c r="D4" s="114" t="n">
        <v>2.2</v>
      </c>
      <c r="E4" s="114" t="n">
        <v>2.01</v>
      </c>
      <c r="F4" s="115" t="n">
        <f aca="false">(D4+E4)/2</f>
        <v>2.105</v>
      </c>
      <c r="G4" s="116" t="n">
        <f aca="false">C4*F4</f>
        <v>9.9777</v>
      </c>
      <c r="H4" s="121" t="s">
        <v>109</v>
      </c>
      <c r="J4" s="118" t="s">
        <v>110</v>
      </c>
      <c r="K4" s="119"/>
      <c r="L4" s="119"/>
      <c r="M4" s="119"/>
      <c r="N4" s="119"/>
      <c r="O4" s="119"/>
      <c r="P4" s="119"/>
      <c r="Q4" s="119"/>
      <c r="R4" s="119"/>
      <c r="S4" s="120"/>
    </row>
    <row r="5" customFormat="false" ht="15" hidden="false" customHeight="true" outlineLevel="0" collapsed="false">
      <c r="A5" s="111" t="s">
        <v>111</v>
      </c>
      <c r="B5" s="112" t="s">
        <v>112</v>
      </c>
      <c r="C5" s="113" t="n">
        <v>2.02</v>
      </c>
      <c r="D5" s="114" t="n">
        <v>7.37</v>
      </c>
      <c r="E5" s="114" t="n">
        <v>8.21</v>
      </c>
      <c r="F5" s="115" t="n">
        <f aca="false">(D5+E5)/2</f>
        <v>7.79</v>
      </c>
      <c r="G5" s="116" t="n">
        <f aca="false">C5*F5</f>
        <v>15.7358</v>
      </c>
      <c r="H5" s="121" t="s">
        <v>113</v>
      </c>
      <c r="J5" s="118" t="s">
        <v>114</v>
      </c>
      <c r="K5" s="119"/>
      <c r="L5" s="119"/>
      <c r="M5" s="119"/>
      <c r="N5" s="119"/>
      <c r="O5" s="119"/>
      <c r="P5" s="119"/>
      <c r="Q5" s="119"/>
      <c r="R5" s="119"/>
      <c r="S5" s="120"/>
    </row>
    <row r="6" customFormat="false" ht="15" hidden="false" customHeight="true" outlineLevel="0" collapsed="false">
      <c r="A6" s="111" t="s">
        <v>115</v>
      </c>
      <c r="B6" s="112" t="s">
        <v>105</v>
      </c>
      <c r="C6" s="113" t="n">
        <v>2.52</v>
      </c>
      <c r="D6" s="114" t="n">
        <v>7.25</v>
      </c>
      <c r="E6" s="114" t="n">
        <v>6.84</v>
      </c>
      <c r="F6" s="115" t="n">
        <f aca="false">(D6+E6)/2</f>
        <v>7.045</v>
      </c>
      <c r="G6" s="116" t="n">
        <f aca="false">C6*F6</f>
        <v>17.7534</v>
      </c>
      <c r="H6" s="121" t="s">
        <v>113</v>
      </c>
      <c r="J6" s="122" t="s">
        <v>116</v>
      </c>
      <c r="K6" s="123"/>
      <c r="L6" s="123"/>
      <c r="M6" s="123"/>
      <c r="N6" s="123"/>
      <c r="O6" s="123"/>
      <c r="P6" s="123"/>
      <c r="Q6" s="123"/>
      <c r="R6" s="123"/>
      <c r="S6" s="124"/>
    </row>
    <row r="7" customFormat="false" ht="15" hidden="false" customHeight="true" outlineLevel="0" collapsed="false">
      <c r="A7" s="111" t="s">
        <v>117</v>
      </c>
      <c r="B7" s="112" t="s">
        <v>118</v>
      </c>
      <c r="C7" s="113" t="n">
        <v>0.3</v>
      </c>
      <c r="D7" s="114" t="n">
        <v>18.54</v>
      </c>
      <c r="E7" s="114" t="n">
        <v>24.19</v>
      </c>
      <c r="F7" s="115" t="n">
        <f aca="false">(D7+E7)/2</f>
        <v>21.365</v>
      </c>
      <c r="G7" s="116" t="n">
        <f aca="false">C7*F7</f>
        <v>6.4095</v>
      </c>
      <c r="H7" s="121" t="s">
        <v>119</v>
      </c>
    </row>
    <row r="8" customFormat="false" ht="15" hidden="false" customHeight="true" outlineLevel="0" collapsed="false">
      <c r="A8" s="111" t="s">
        <v>120</v>
      </c>
      <c r="B8" s="112" t="s">
        <v>118</v>
      </c>
      <c r="C8" s="113" t="n">
        <v>1.35</v>
      </c>
      <c r="D8" s="114" t="n">
        <v>5.46</v>
      </c>
      <c r="E8" s="114" t="n">
        <v>11.8</v>
      </c>
      <c r="F8" s="115" t="n">
        <f aca="false">(D8+E8)/2</f>
        <v>8.63</v>
      </c>
      <c r="G8" s="116" t="n">
        <f aca="false">C8*F8</f>
        <v>11.6505</v>
      </c>
      <c r="H8" s="121" t="s">
        <v>121</v>
      </c>
    </row>
    <row r="9" customFormat="false" ht="15" hidden="false" customHeight="true" outlineLevel="0" collapsed="false">
      <c r="A9" s="111" t="s">
        <v>122</v>
      </c>
      <c r="B9" s="112" t="s">
        <v>118</v>
      </c>
      <c r="C9" s="113" t="n">
        <v>0.2</v>
      </c>
      <c r="D9" s="114" t="n">
        <v>47.92</v>
      </c>
      <c r="E9" s="114" t="n">
        <v>50.74</v>
      </c>
      <c r="F9" s="115" t="n">
        <f aca="false">(D9+E9)/2</f>
        <v>49.33</v>
      </c>
      <c r="G9" s="116" t="n">
        <f aca="false">C9*F9</f>
        <v>9.866</v>
      </c>
      <c r="H9" s="121" t="s">
        <v>123</v>
      </c>
    </row>
    <row r="10" customFormat="false" ht="15" hidden="false" customHeight="true" outlineLevel="0" collapsed="false">
      <c r="A10" s="111" t="s">
        <v>124</v>
      </c>
      <c r="B10" s="112" t="s">
        <v>118</v>
      </c>
      <c r="C10" s="113" t="n">
        <v>0.5</v>
      </c>
      <c r="D10" s="114" t="n">
        <v>12.32</v>
      </c>
      <c r="E10" s="114" t="n">
        <v>14.65</v>
      </c>
      <c r="F10" s="115" t="n">
        <f aca="false">(D10+E10)/2</f>
        <v>13.485</v>
      </c>
      <c r="G10" s="116" t="n">
        <f aca="false">C10*F10</f>
        <v>6.7425</v>
      </c>
      <c r="H10" s="121" t="s">
        <v>125</v>
      </c>
    </row>
    <row r="11" customFormat="false" ht="15" hidden="false" customHeight="true" outlineLevel="0" collapsed="false">
      <c r="A11" s="111" t="s">
        <v>126</v>
      </c>
      <c r="B11" s="112" t="s">
        <v>112</v>
      </c>
      <c r="C11" s="113" t="n">
        <v>1.43</v>
      </c>
      <c r="D11" s="114" t="n">
        <v>1.44</v>
      </c>
      <c r="E11" s="114" t="n">
        <v>1.82</v>
      </c>
      <c r="F11" s="115" t="n">
        <f aca="false">(D11+E11)/2</f>
        <v>1.63</v>
      </c>
      <c r="G11" s="116" t="n">
        <f aca="false">C11*F11</f>
        <v>2.3309</v>
      </c>
      <c r="H11" s="121" t="s">
        <v>127</v>
      </c>
    </row>
    <row r="12" customFormat="false" ht="15" hidden="false" customHeight="true" outlineLevel="0" collapsed="false">
      <c r="A12" s="111" t="s">
        <v>128</v>
      </c>
      <c r="B12" s="112" t="s">
        <v>129</v>
      </c>
      <c r="C12" s="113" t="n">
        <v>1.09</v>
      </c>
      <c r="D12" s="114" t="n">
        <v>6.86</v>
      </c>
      <c r="E12" s="114" t="n">
        <v>7.94</v>
      </c>
      <c r="F12" s="115" t="n">
        <f aca="false">(D12+E12)/2</f>
        <v>7.4</v>
      </c>
      <c r="G12" s="116" t="n">
        <f aca="false">C12*F12</f>
        <v>8.066</v>
      </c>
      <c r="H12" s="121" t="s">
        <v>130</v>
      </c>
    </row>
    <row r="13" customFormat="false" ht="15" hidden="false" customHeight="true" outlineLevel="0" collapsed="false">
      <c r="A13" s="111" t="s">
        <v>131</v>
      </c>
      <c r="B13" s="112" t="s">
        <v>129</v>
      </c>
      <c r="C13" s="113" t="n">
        <v>1.27</v>
      </c>
      <c r="D13" s="114" t="n">
        <v>2.07</v>
      </c>
      <c r="E13" s="114" t="n">
        <v>2.86</v>
      </c>
      <c r="F13" s="115" t="n">
        <f aca="false">(D13+E13)/2</f>
        <v>2.465</v>
      </c>
      <c r="G13" s="116" t="n">
        <f aca="false">C13*F13</f>
        <v>3.13055</v>
      </c>
      <c r="H13" s="121" t="s">
        <v>132</v>
      </c>
    </row>
    <row r="14" customFormat="false" ht="15" hidden="false" customHeight="true" outlineLevel="0" collapsed="false">
      <c r="A14" s="111" t="s">
        <v>133</v>
      </c>
      <c r="B14" s="112" t="s">
        <v>129</v>
      </c>
      <c r="C14" s="113" t="n">
        <v>2.22</v>
      </c>
      <c r="D14" s="114" t="n">
        <v>0.69</v>
      </c>
      <c r="E14" s="114" t="n">
        <v>0.83</v>
      </c>
      <c r="F14" s="115" t="n">
        <f aca="false">(D14+E14)/2</f>
        <v>0.76</v>
      </c>
      <c r="G14" s="116" t="n">
        <f aca="false">C14*F14</f>
        <v>1.6872</v>
      </c>
      <c r="H14" s="121" t="s">
        <v>121</v>
      </c>
    </row>
    <row r="15" customFormat="false" ht="15" hidden="false" customHeight="true" outlineLevel="0" collapsed="false">
      <c r="A15" s="111" t="s">
        <v>134</v>
      </c>
      <c r="B15" s="112" t="s">
        <v>129</v>
      </c>
      <c r="C15" s="113" t="n">
        <v>2.41</v>
      </c>
      <c r="D15" s="114" t="n">
        <v>1.64</v>
      </c>
      <c r="E15" s="114" t="n">
        <v>2.9</v>
      </c>
      <c r="F15" s="115" t="n">
        <f aca="false">(D15+E15)/2</f>
        <v>2.27</v>
      </c>
      <c r="G15" s="116" t="n">
        <f aca="false">C15*F15</f>
        <v>5.4707</v>
      </c>
      <c r="H15" s="121" t="s">
        <v>135</v>
      </c>
    </row>
    <row r="16" customFormat="false" ht="15" hidden="false" customHeight="true" outlineLevel="0" collapsed="false">
      <c r="A16" s="111" t="s">
        <v>136</v>
      </c>
      <c r="B16" s="112" t="s">
        <v>129</v>
      </c>
      <c r="C16" s="113" t="n">
        <v>0.25</v>
      </c>
      <c r="D16" s="114" t="n">
        <v>7.21</v>
      </c>
      <c r="E16" s="114" t="n">
        <v>8.66</v>
      </c>
      <c r="F16" s="115" t="n">
        <f aca="false">(D16+E16)/2</f>
        <v>7.935</v>
      </c>
      <c r="G16" s="116" t="n">
        <f aca="false">C16*F16</f>
        <v>1.98375</v>
      </c>
      <c r="H16" s="121" t="s">
        <v>137</v>
      </c>
    </row>
    <row r="17" customFormat="false" ht="15" hidden="false" customHeight="true" outlineLevel="0" collapsed="false">
      <c r="A17" s="111" t="s">
        <v>138</v>
      </c>
      <c r="B17" s="112" t="s">
        <v>139</v>
      </c>
      <c r="C17" s="113" t="n">
        <v>0.65</v>
      </c>
      <c r="D17" s="114" t="n">
        <v>1.38</v>
      </c>
      <c r="E17" s="114" t="n">
        <v>2.37</v>
      </c>
      <c r="F17" s="115" t="n">
        <f aca="false">(D17+E17)/2</f>
        <v>1.875</v>
      </c>
      <c r="G17" s="116" t="n">
        <f aca="false">C17*F17</f>
        <v>1.21875</v>
      </c>
      <c r="H17" s="121" t="s">
        <v>127</v>
      </c>
    </row>
    <row r="18" customFormat="false" ht="15" hidden="false" customHeight="true" outlineLevel="0" collapsed="false">
      <c r="A18" s="111" t="s">
        <v>140</v>
      </c>
      <c r="B18" s="112" t="s">
        <v>112</v>
      </c>
      <c r="C18" s="113" t="n">
        <v>0.22</v>
      </c>
      <c r="D18" s="114" t="n">
        <v>2.41</v>
      </c>
      <c r="E18" s="114" t="n">
        <v>4.23</v>
      </c>
      <c r="F18" s="115" t="n">
        <f aca="false">(D18+E18)/2</f>
        <v>3.32</v>
      </c>
      <c r="G18" s="116" t="n">
        <f aca="false">C18*F18</f>
        <v>0.7304</v>
      </c>
      <c r="H18" s="121" t="s">
        <v>141</v>
      </c>
    </row>
    <row r="19" customFormat="false" ht="15" hidden="false" customHeight="true" outlineLevel="0" collapsed="false">
      <c r="A19" s="111" t="s">
        <v>142</v>
      </c>
      <c r="B19" s="112" t="s">
        <v>143</v>
      </c>
      <c r="C19" s="113" t="n">
        <v>1.61</v>
      </c>
      <c r="D19" s="114" t="n">
        <v>3.57</v>
      </c>
      <c r="E19" s="114" t="n">
        <v>3.76</v>
      </c>
      <c r="F19" s="115" t="n">
        <f aca="false">(D19+E19)/2</f>
        <v>3.665</v>
      </c>
      <c r="G19" s="116" t="n">
        <f aca="false">C19*F19</f>
        <v>5.90065</v>
      </c>
      <c r="H19" s="121" t="s">
        <v>144</v>
      </c>
    </row>
    <row r="20" customFormat="false" ht="15" hidden="false" customHeight="true" outlineLevel="0" collapsed="false">
      <c r="A20" s="111" t="s">
        <v>145</v>
      </c>
      <c r="B20" s="112" t="s">
        <v>112</v>
      </c>
      <c r="C20" s="113" t="n">
        <v>2.2</v>
      </c>
      <c r="D20" s="114" t="n">
        <v>2.53</v>
      </c>
      <c r="E20" s="114" t="n">
        <v>3.51</v>
      </c>
      <c r="F20" s="115" t="n">
        <f aca="false">(D20+E20)/2</f>
        <v>3.02</v>
      </c>
      <c r="G20" s="116" t="n">
        <f aca="false">C20*F20</f>
        <v>6.644</v>
      </c>
      <c r="H20" s="121" t="s">
        <v>125</v>
      </c>
    </row>
    <row r="21" customFormat="false" ht="15" hidden="false" customHeight="true" outlineLevel="0" collapsed="false">
      <c r="A21" s="111" t="s">
        <v>146</v>
      </c>
      <c r="B21" s="112" t="s">
        <v>147</v>
      </c>
      <c r="C21" s="113" t="n">
        <v>0.3</v>
      </c>
      <c r="D21" s="114" t="n">
        <v>1.87</v>
      </c>
      <c r="E21" s="114" t="n">
        <v>2.73</v>
      </c>
      <c r="F21" s="115" t="n">
        <f aca="false">(D21+E21)/2</f>
        <v>2.3</v>
      </c>
      <c r="G21" s="116" t="n">
        <f aca="false">C21*F21</f>
        <v>0.69</v>
      </c>
      <c r="H21" s="121" t="s">
        <v>113</v>
      </c>
    </row>
    <row r="22" customFormat="false" ht="15" hidden="false" customHeight="true" outlineLevel="0" collapsed="false">
      <c r="A22" s="111" t="s">
        <v>148</v>
      </c>
      <c r="B22" s="112" t="s">
        <v>149</v>
      </c>
      <c r="C22" s="113" t="n">
        <v>2.3</v>
      </c>
      <c r="D22" s="114" t="n">
        <v>4.3</v>
      </c>
      <c r="E22" s="114" t="n">
        <v>5.11</v>
      </c>
      <c r="F22" s="115" t="n">
        <f aca="false">(D22+E22)/2</f>
        <v>4.705</v>
      </c>
      <c r="G22" s="116" t="n">
        <f aca="false">C22*F22</f>
        <v>10.8215</v>
      </c>
      <c r="H22" s="121" t="s">
        <v>125</v>
      </c>
    </row>
    <row r="23" customFormat="false" ht="15" hidden="false" customHeight="true" outlineLevel="0" collapsed="false">
      <c r="A23" s="111" t="s">
        <v>150</v>
      </c>
      <c r="B23" s="112" t="s">
        <v>129</v>
      </c>
      <c r="C23" s="113" t="n">
        <v>1.48</v>
      </c>
      <c r="D23" s="114" t="n">
        <v>7.44</v>
      </c>
      <c r="E23" s="114" t="n">
        <v>7.96</v>
      </c>
      <c r="F23" s="115" t="n">
        <f aca="false">(D23+E23)/2</f>
        <v>7.7</v>
      </c>
      <c r="G23" s="116" t="n">
        <f aca="false">C23*F23</f>
        <v>11.396</v>
      </c>
      <c r="H23" s="121" t="s">
        <v>127</v>
      </c>
    </row>
    <row r="24" customFormat="false" ht="15" hidden="false" customHeight="true" outlineLevel="0" collapsed="false">
      <c r="A24" s="111" t="s">
        <v>151</v>
      </c>
      <c r="B24" s="112" t="s">
        <v>129</v>
      </c>
      <c r="C24" s="113" t="n">
        <v>2.58</v>
      </c>
      <c r="D24" s="114" t="n">
        <v>3.37</v>
      </c>
      <c r="E24" s="114" t="n">
        <v>4.33</v>
      </c>
      <c r="F24" s="115" t="n">
        <f aca="false">(D24+E24)/2</f>
        <v>3.85</v>
      </c>
      <c r="G24" s="116" t="n">
        <f aca="false">C24*F24</f>
        <v>9.933</v>
      </c>
      <c r="H24" s="121" t="s">
        <v>125</v>
      </c>
    </row>
    <row r="25" customFormat="false" ht="15" hidden="false" customHeight="true" outlineLevel="0" collapsed="false">
      <c r="A25" s="111" t="s">
        <v>152</v>
      </c>
      <c r="B25" s="112" t="s">
        <v>153</v>
      </c>
      <c r="C25" s="113" t="n">
        <v>0.62</v>
      </c>
      <c r="D25" s="114" t="n">
        <v>59.32</v>
      </c>
      <c r="E25" s="114" t="n">
        <v>74.08</v>
      </c>
      <c r="F25" s="115" t="n">
        <f aca="false">(D25+E25)/2</f>
        <v>66.7</v>
      </c>
      <c r="G25" s="116" t="n">
        <f aca="false">C25*F25</f>
        <v>41.354</v>
      </c>
      <c r="H25" s="121" t="s">
        <v>127</v>
      </c>
    </row>
    <row r="26" customFormat="false" ht="15" hidden="false" customHeight="true" outlineLevel="0" collapsed="false">
      <c r="A26" s="111" t="s">
        <v>154</v>
      </c>
      <c r="B26" s="112" t="s">
        <v>155</v>
      </c>
      <c r="C26" s="113" t="n">
        <v>2.41</v>
      </c>
      <c r="D26" s="114" t="n">
        <v>27.95</v>
      </c>
      <c r="E26" s="114" t="n">
        <v>26.37</v>
      </c>
      <c r="F26" s="115" t="n">
        <f aca="false">(D26+E26)/2</f>
        <v>27.16</v>
      </c>
      <c r="G26" s="116" t="n">
        <f aca="false">C26*F26</f>
        <v>65.4556</v>
      </c>
      <c r="H26" s="121" t="s">
        <v>127</v>
      </c>
    </row>
    <row r="27" customFormat="false" ht="15" hidden="false" customHeight="true" outlineLevel="0" collapsed="false">
      <c r="A27" s="111" t="s">
        <v>156</v>
      </c>
      <c r="B27" s="112" t="s">
        <v>157</v>
      </c>
      <c r="C27" s="113" t="n">
        <v>5.88</v>
      </c>
      <c r="D27" s="114" t="n">
        <v>10.61</v>
      </c>
      <c r="E27" s="114" t="n">
        <v>9.8</v>
      </c>
      <c r="F27" s="115" t="n">
        <f aca="false">(D27+E27)/2</f>
        <v>10.205</v>
      </c>
      <c r="G27" s="116" t="n">
        <f aca="false">C27*F27</f>
        <v>60.0054</v>
      </c>
      <c r="H27" s="121" t="s">
        <v>127</v>
      </c>
    </row>
    <row r="28" customFormat="false" ht="15" hidden="false" customHeight="true" outlineLevel="0" collapsed="false">
      <c r="A28" s="111" t="s">
        <v>158</v>
      </c>
      <c r="B28" s="112" t="s">
        <v>159</v>
      </c>
      <c r="C28" s="113" t="n">
        <v>2.75</v>
      </c>
      <c r="D28" s="114" t="n">
        <v>1.37</v>
      </c>
      <c r="E28" s="114" t="n">
        <v>1.22</v>
      </c>
      <c r="F28" s="115" t="n">
        <f aca="false">(D28+E28)/2</f>
        <v>1.295</v>
      </c>
      <c r="G28" s="116" t="n">
        <f aca="false">C28*F28</f>
        <v>3.56125</v>
      </c>
      <c r="H28" s="121" t="s">
        <v>127</v>
      </c>
    </row>
    <row r="29" customFormat="false" ht="15" hidden="false" customHeight="true" outlineLevel="0" collapsed="false">
      <c r="A29" s="111" t="s">
        <v>160</v>
      </c>
      <c r="B29" s="112" t="s">
        <v>118</v>
      </c>
      <c r="C29" s="113" t="n">
        <v>0.67</v>
      </c>
      <c r="D29" s="114" t="n">
        <v>19.74</v>
      </c>
      <c r="E29" s="114" t="n">
        <v>20.96</v>
      </c>
      <c r="F29" s="115" t="n">
        <f aca="false">(D29+E29)/2</f>
        <v>20.35</v>
      </c>
      <c r="G29" s="116" t="n">
        <f aca="false">C29*F29</f>
        <v>13.6345</v>
      </c>
      <c r="H29" s="121" t="s">
        <v>125</v>
      </c>
    </row>
    <row r="30" customFormat="false" ht="15" hidden="false" customHeight="true" outlineLevel="0" collapsed="false">
      <c r="A30" s="111" t="s">
        <v>161</v>
      </c>
      <c r="B30" s="112" t="s">
        <v>129</v>
      </c>
      <c r="C30" s="113" t="n">
        <v>1.2</v>
      </c>
      <c r="D30" s="114" t="n">
        <v>1.19</v>
      </c>
      <c r="E30" s="114" t="n">
        <v>2.75</v>
      </c>
      <c r="F30" s="115" t="n">
        <f aca="false">(D30+E30)/2</f>
        <v>1.97</v>
      </c>
      <c r="G30" s="116" t="n">
        <f aca="false">C30*F30</f>
        <v>2.364</v>
      </c>
      <c r="H30" s="121" t="s">
        <v>125</v>
      </c>
    </row>
    <row r="31" customFormat="false" ht="15" hidden="false" customHeight="true" outlineLevel="0" collapsed="false">
      <c r="A31" s="111" t="s">
        <v>162</v>
      </c>
      <c r="B31" s="112" t="s">
        <v>163</v>
      </c>
      <c r="C31" s="113" t="n">
        <v>0.79</v>
      </c>
      <c r="D31" s="114" t="n">
        <v>4.72</v>
      </c>
      <c r="E31" s="114" t="n">
        <v>4.93</v>
      </c>
      <c r="F31" s="115" t="n">
        <f aca="false">(D31+E31)/2</f>
        <v>4.825</v>
      </c>
      <c r="G31" s="116" t="n">
        <f aca="false">C31*F31</f>
        <v>3.81175</v>
      </c>
      <c r="H31" s="121" t="s">
        <v>125</v>
      </c>
    </row>
    <row r="32" customFormat="false" ht="15" hidden="false" customHeight="true" outlineLevel="0" collapsed="false">
      <c r="A32" s="111" t="s">
        <v>164</v>
      </c>
      <c r="B32" s="112" t="s">
        <v>118</v>
      </c>
      <c r="C32" s="113" t="n">
        <v>0.77</v>
      </c>
      <c r="D32" s="114" t="n">
        <v>16.22</v>
      </c>
      <c r="E32" s="114" t="n">
        <v>25.11</v>
      </c>
      <c r="F32" s="115" t="n">
        <f aca="false">(D32+E32)/2</f>
        <v>20.665</v>
      </c>
      <c r="G32" s="116" t="n">
        <f aca="false">C32*F32</f>
        <v>15.91205</v>
      </c>
      <c r="H32" s="121" t="s">
        <v>127</v>
      </c>
    </row>
    <row r="33" customFormat="false" ht="15" hidden="false" customHeight="true" outlineLevel="0" collapsed="false">
      <c r="A33" s="111" t="s">
        <v>165</v>
      </c>
      <c r="B33" s="112" t="s">
        <v>129</v>
      </c>
      <c r="C33" s="113" t="n">
        <v>1.53</v>
      </c>
      <c r="D33" s="114" t="n">
        <v>3.47</v>
      </c>
      <c r="E33" s="114" t="n">
        <v>4.25</v>
      </c>
      <c r="F33" s="115" t="n">
        <f aca="false">(D33+E33)/2</f>
        <v>3.86</v>
      </c>
      <c r="G33" s="116" t="n">
        <f aca="false">C33*F33</f>
        <v>5.9058</v>
      </c>
      <c r="H33" s="121" t="s">
        <v>166</v>
      </c>
    </row>
    <row r="34" customFormat="false" ht="15" hidden="false" customHeight="true" outlineLevel="0" collapsed="false">
      <c r="A34" s="111" t="s">
        <v>167</v>
      </c>
      <c r="B34" s="112" t="s">
        <v>168</v>
      </c>
      <c r="C34" s="113" t="n">
        <v>0.68</v>
      </c>
      <c r="D34" s="114" t="n">
        <v>14.06</v>
      </c>
      <c r="E34" s="114" t="n">
        <v>17.69</v>
      </c>
      <c r="F34" s="115" t="n">
        <f aca="false">(D34+E34)/2</f>
        <v>15.875</v>
      </c>
      <c r="G34" s="116" t="n">
        <f aca="false">C34*F34</f>
        <v>10.795</v>
      </c>
      <c r="H34" s="121" t="s">
        <v>169</v>
      </c>
    </row>
    <row r="35" customFormat="false" ht="15" hidden="false" customHeight="true" outlineLevel="0" collapsed="false">
      <c r="A35" s="111" t="s">
        <v>170</v>
      </c>
      <c r="B35" s="112" t="s">
        <v>168</v>
      </c>
      <c r="C35" s="113" t="n">
        <v>0.65</v>
      </c>
      <c r="D35" s="114" t="n">
        <v>14.34</v>
      </c>
      <c r="E35" s="114" t="n">
        <v>19.29</v>
      </c>
      <c r="F35" s="115" t="n">
        <f aca="false">(D35+E35)/2</f>
        <v>16.815</v>
      </c>
      <c r="G35" s="116" t="n">
        <f aca="false">C35*F35</f>
        <v>10.92975</v>
      </c>
      <c r="H35" s="121" t="s">
        <v>169</v>
      </c>
    </row>
    <row r="36" customFormat="false" ht="15" hidden="false" customHeight="true" outlineLevel="0" collapsed="false">
      <c r="A36" s="125" t="s">
        <v>171</v>
      </c>
      <c r="B36" s="126" t="s">
        <v>168</v>
      </c>
      <c r="C36" s="127" t="n">
        <v>1.02</v>
      </c>
      <c r="D36" s="128" t="n">
        <v>24.89</v>
      </c>
      <c r="E36" s="128" t="n">
        <v>25.63</v>
      </c>
      <c r="F36" s="129" t="n">
        <f aca="false">(D36+E36)/2</f>
        <v>25.26</v>
      </c>
      <c r="G36" s="130" t="n">
        <f aca="false">C36*F36</f>
        <v>25.7652</v>
      </c>
      <c r="H36" s="131" t="s">
        <v>125</v>
      </c>
    </row>
    <row r="37" customFormat="false" ht="20.25" hidden="false" customHeight="true" outlineLevel="0" collapsed="false">
      <c r="A37" s="132" t="s">
        <v>172</v>
      </c>
      <c r="B37" s="132"/>
      <c r="C37" s="132"/>
      <c r="D37" s="132"/>
      <c r="E37" s="132"/>
      <c r="F37" s="132"/>
      <c r="G37" s="133" t="n">
        <f aca="false">SUM(G3:G36)</f>
        <v>409.7938</v>
      </c>
    </row>
    <row r="38" customFormat="false" ht="20.25" hidden="false" customHeight="true" outlineLevel="0" collapsed="false">
      <c r="A38" s="97" t="s">
        <v>173</v>
      </c>
      <c r="B38" s="97"/>
      <c r="C38" s="97"/>
      <c r="D38" s="97"/>
      <c r="E38" s="97"/>
      <c r="F38" s="97"/>
      <c r="G38" s="97"/>
      <c r="H38" s="97"/>
    </row>
    <row r="39" customFormat="false" ht="45.75" hidden="false" customHeight="true" outlineLevel="0" collapsed="false">
      <c r="A39" s="103" t="s">
        <v>95</v>
      </c>
      <c r="B39" s="104" t="s">
        <v>96</v>
      </c>
      <c r="C39" s="104" t="s">
        <v>174</v>
      </c>
      <c r="D39" s="104" t="s">
        <v>98</v>
      </c>
      <c r="E39" s="104" t="s">
        <v>99</v>
      </c>
      <c r="F39" s="105" t="s">
        <v>100</v>
      </c>
      <c r="G39" s="134" t="s">
        <v>175</v>
      </c>
      <c r="H39" s="135" t="s">
        <v>102</v>
      </c>
    </row>
    <row r="40" customFormat="false" ht="15" hidden="false" customHeight="true" outlineLevel="0" collapsed="false">
      <c r="A40" s="136" t="s">
        <v>176</v>
      </c>
      <c r="B40" s="137" t="s">
        <v>129</v>
      </c>
      <c r="C40" s="113" t="n">
        <v>3.19</v>
      </c>
      <c r="D40" s="138" t="n">
        <v>9.91</v>
      </c>
      <c r="E40" s="138" t="n">
        <v>7.95</v>
      </c>
      <c r="F40" s="115" t="n">
        <f aca="false">(D40+E40)/2</f>
        <v>8.93</v>
      </c>
      <c r="G40" s="139" t="n">
        <f aca="false">C40*F40/12</f>
        <v>2.37389166666667</v>
      </c>
      <c r="H40" s="140" t="s">
        <v>125</v>
      </c>
    </row>
    <row r="41" customFormat="false" ht="15" hidden="false" customHeight="true" outlineLevel="0" collapsed="false">
      <c r="A41" s="141" t="s">
        <v>177</v>
      </c>
      <c r="B41" s="142" t="s">
        <v>129</v>
      </c>
      <c r="C41" s="113" t="n">
        <v>0.75</v>
      </c>
      <c r="D41" s="138" t="n">
        <v>5.96</v>
      </c>
      <c r="E41" s="138" t="n">
        <v>3.96</v>
      </c>
      <c r="F41" s="115" t="n">
        <f aca="false">(D41+E41)/2</f>
        <v>4.96</v>
      </c>
      <c r="G41" s="139" t="n">
        <f aca="false">C41*F41/12</f>
        <v>0.31</v>
      </c>
      <c r="H41" s="143" t="s">
        <v>127</v>
      </c>
    </row>
    <row r="42" customFormat="false" ht="15" hidden="false" customHeight="true" outlineLevel="0" collapsed="false">
      <c r="A42" s="141" t="s">
        <v>178</v>
      </c>
      <c r="B42" s="142" t="s">
        <v>129</v>
      </c>
      <c r="C42" s="113" t="n">
        <v>0.75</v>
      </c>
      <c r="D42" s="138" t="n">
        <v>7.93</v>
      </c>
      <c r="E42" s="138" t="n">
        <v>5.84</v>
      </c>
      <c r="F42" s="115" t="n">
        <f aca="false">(D42+E42)/2</f>
        <v>6.885</v>
      </c>
      <c r="G42" s="139" t="n">
        <f aca="false">C42*F42/12</f>
        <v>0.4303125</v>
      </c>
      <c r="H42" s="143" t="s">
        <v>127</v>
      </c>
    </row>
    <row r="43" customFormat="false" ht="15" hidden="false" customHeight="true" outlineLevel="0" collapsed="false">
      <c r="A43" s="141" t="s">
        <v>179</v>
      </c>
      <c r="B43" s="142" t="s">
        <v>129</v>
      </c>
      <c r="C43" s="113" t="n">
        <v>1.94</v>
      </c>
      <c r="D43" s="138" t="n">
        <v>22.32</v>
      </c>
      <c r="E43" s="138" t="n">
        <v>19.21</v>
      </c>
      <c r="F43" s="115" t="n">
        <f aca="false">(D43+E43)/2</f>
        <v>20.765</v>
      </c>
      <c r="G43" s="139" t="n">
        <f aca="false">C43*F43/12</f>
        <v>3.35700833333333</v>
      </c>
      <c r="H43" s="143" t="s">
        <v>125</v>
      </c>
    </row>
    <row r="44" customFormat="false" ht="15" hidden="false" customHeight="true" outlineLevel="0" collapsed="false">
      <c r="A44" s="141" t="s">
        <v>180</v>
      </c>
      <c r="B44" s="142" t="s">
        <v>129</v>
      </c>
      <c r="C44" s="113" t="n">
        <v>2.85</v>
      </c>
      <c r="D44" s="138" t="n">
        <v>4.12</v>
      </c>
      <c r="E44" s="138" t="n">
        <v>6.08</v>
      </c>
      <c r="F44" s="115" t="n">
        <f aca="false">(D44+E44)/2</f>
        <v>5.1</v>
      </c>
      <c r="G44" s="139" t="n">
        <f aca="false">C44*F44/12</f>
        <v>1.21125</v>
      </c>
      <c r="H44" s="143" t="s">
        <v>127</v>
      </c>
    </row>
    <row r="45" customFormat="false" ht="15" hidden="false" customHeight="true" outlineLevel="0" collapsed="false">
      <c r="A45" s="141" t="s">
        <v>181</v>
      </c>
      <c r="B45" s="142" t="s">
        <v>129</v>
      </c>
      <c r="C45" s="113" t="n">
        <v>0.64</v>
      </c>
      <c r="D45" s="138" t="n">
        <v>47.9</v>
      </c>
      <c r="E45" s="138" t="n">
        <v>50.35</v>
      </c>
      <c r="F45" s="115" t="n">
        <f aca="false">(D45+E45)/2</f>
        <v>49.125</v>
      </c>
      <c r="G45" s="139" t="n">
        <f aca="false">C45*F45/12</f>
        <v>2.62</v>
      </c>
      <c r="H45" s="143" t="s">
        <v>125</v>
      </c>
    </row>
    <row r="46" customFormat="false" ht="15" hidden="false" customHeight="true" outlineLevel="0" collapsed="false">
      <c r="A46" s="141" t="s">
        <v>182</v>
      </c>
      <c r="B46" s="142" t="s">
        <v>129</v>
      </c>
      <c r="C46" s="113" t="n">
        <v>1.6</v>
      </c>
      <c r="D46" s="138" t="n">
        <v>2.45</v>
      </c>
      <c r="E46" s="138" t="n">
        <v>4.96</v>
      </c>
      <c r="F46" s="115" t="n">
        <f aca="false">(D46+E46)/2</f>
        <v>3.705</v>
      </c>
      <c r="G46" s="139" t="n">
        <f aca="false">C46*F46/12</f>
        <v>0.494</v>
      </c>
      <c r="H46" s="143" t="s">
        <v>166</v>
      </c>
    </row>
    <row r="47" customFormat="false" ht="15" hidden="false" customHeight="true" outlineLevel="0" collapsed="false">
      <c r="A47" s="141" t="s">
        <v>183</v>
      </c>
      <c r="B47" s="142" t="s">
        <v>129</v>
      </c>
      <c r="C47" s="113" t="n">
        <v>0.92</v>
      </c>
      <c r="D47" s="138" t="n">
        <v>14.49</v>
      </c>
      <c r="E47" s="138" t="n">
        <v>14.32</v>
      </c>
      <c r="F47" s="115" t="n">
        <f aca="false">(D47+E47)/2</f>
        <v>14.405</v>
      </c>
      <c r="G47" s="139" t="n">
        <f aca="false">C47*F47/12</f>
        <v>1.10438333333333</v>
      </c>
      <c r="H47" s="143" t="s">
        <v>125</v>
      </c>
    </row>
    <row r="48" customFormat="false" ht="15" hidden="false" customHeight="true" outlineLevel="0" collapsed="false">
      <c r="A48" s="141" t="s">
        <v>184</v>
      </c>
      <c r="B48" s="142" t="s">
        <v>129</v>
      </c>
      <c r="C48" s="113" t="n">
        <v>1</v>
      </c>
      <c r="D48" s="138" t="n">
        <v>57.07</v>
      </c>
      <c r="E48" s="138" t="n">
        <v>56.66</v>
      </c>
      <c r="F48" s="115" t="n">
        <f aca="false">(D48+E48)/2</f>
        <v>56.865</v>
      </c>
      <c r="G48" s="139" t="n">
        <f aca="false">C48*F48/12</f>
        <v>4.73875</v>
      </c>
      <c r="H48" s="143" t="s">
        <v>169</v>
      </c>
    </row>
    <row r="49" customFormat="false" ht="15" hidden="false" customHeight="true" outlineLevel="0" collapsed="false">
      <c r="A49" s="141" t="s">
        <v>185</v>
      </c>
      <c r="B49" s="142" t="s">
        <v>129</v>
      </c>
      <c r="C49" s="113" t="n">
        <v>2.6</v>
      </c>
      <c r="D49" s="138" t="n">
        <v>60.51</v>
      </c>
      <c r="E49" s="138" t="n">
        <v>70.32</v>
      </c>
      <c r="F49" s="115" t="n">
        <f aca="false">(D49+E49)/2</f>
        <v>65.415</v>
      </c>
      <c r="G49" s="139" t="n">
        <f aca="false">C49*F49/12</f>
        <v>14.17325</v>
      </c>
      <c r="H49" s="143" t="s">
        <v>169</v>
      </c>
    </row>
    <row r="50" customFormat="false" ht="15" hidden="false" customHeight="true" outlineLevel="0" collapsed="false">
      <c r="A50" s="144" t="s">
        <v>186</v>
      </c>
      <c r="B50" s="145" t="s">
        <v>129</v>
      </c>
      <c r="C50" s="113" t="n">
        <v>4</v>
      </c>
      <c r="D50" s="138" t="n">
        <v>17.62</v>
      </c>
      <c r="E50" s="138" t="n">
        <v>15.64</v>
      </c>
      <c r="F50" s="115" t="n">
        <f aca="false">(D50+E50)/2</f>
        <v>16.63</v>
      </c>
      <c r="G50" s="139" t="n">
        <f aca="false">C50*F50/12</f>
        <v>5.54333333333333</v>
      </c>
      <c r="H50" s="146" t="s">
        <v>169</v>
      </c>
    </row>
    <row r="51" customFormat="false" ht="15" hidden="false" customHeight="true" outlineLevel="0" collapsed="false">
      <c r="A51" s="141" t="s">
        <v>187</v>
      </c>
      <c r="B51" s="142" t="s">
        <v>129</v>
      </c>
      <c r="C51" s="113" t="n">
        <v>1</v>
      </c>
      <c r="D51" s="138" t="n">
        <v>3.44</v>
      </c>
      <c r="E51" s="138" t="n">
        <v>5.94</v>
      </c>
      <c r="F51" s="115" t="n">
        <f aca="false">(D51+E51)/2</f>
        <v>4.69</v>
      </c>
      <c r="G51" s="139" t="n">
        <f aca="false">C51*F51/12</f>
        <v>0.390833333333333</v>
      </c>
      <c r="H51" s="143" t="s">
        <v>125</v>
      </c>
    </row>
    <row r="52" customFormat="false" ht="15" hidden="false" customHeight="true" outlineLevel="0" collapsed="false">
      <c r="A52" s="141" t="s">
        <v>188</v>
      </c>
      <c r="B52" s="142" t="s">
        <v>129</v>
      </c>
      <c r="C52" s="113" t="n">
        <v>1.24</v>
      </c>
      <c r="D52" s="138" t="n">
        <v>8.28</v>
      </c>
      <c r="E52" s="138" t="n">
        <v>11.02</v>
      </c>
      <c r="F52" s="115" t="n">
        <f aca="false">(D52+E52)/2</f>
        <v>9.65</v>
      </c>
      <c r="G52" s="139" t="n">
        <f aca="false">C52*F52/12</f>
        <v>0.997166666666666</v>
      </c>
      <c r="H52" s="143" t="s">
        <v>144</v>
      </c>
    </row>
    <row r="53" customFormat="false" ht="15" hidden="false" customHeight="true" outlineLevel="0" collapsed="false">
      <c r="A53" s="141" t="s">
        <v>189</v>
      </c>
      <c r="B53" s="142" t="s">
        <v>129</v>
      </c>
      <c r="C53" s="113" t="n">
        <v>3.85</v>
      </c>
      <c r="D53" s="138" t="n">
        <v>9.34</v>
      </c>
      <c r="E53" s="138" t="n">
        <v>11.3</v>
      </c>
      <c r="F53" s="115" t="n">
        <f aca="false">(D53+E53)/2</f>
        <v>10.32</v>
      </c>
      <c r="G53" s="139" t="n">
        <f aca="false">C53*F53/12</f>
        <v>3.311</v>
      </c>
      <c r="H53" s="143" t="s">
        <v>169</v>
      </c>
    </row>
    <row r="54" customFormat="false" ht="15" hidden="false" customHeight="true" outlineLevel="0" collapsed="false">
      <c r="A54" s="141" t="s">
        <v>190</v>
      </c>
      <c r="B54" s="142" t="s">
        <v>191</v>
      </c>
      <c r="C54" s="113" t="n">
        <v>0.64</v>
      </c>
      <c r="D54" s="138" t="n">
        <v>25.29</v>
      </c>
      <c r="E54" s="138" t="n">
        <v>18.9</v>
      </c>
      <c r="F54" s="115" t="n">
        <f aca="false">(D54+E54)/2</f>
        <v>22.095</v>
      </c>
      <c r="G54" s="139" t="n">
        <f aca="false">C54*F54/12</f>
        <v>1.1784</v>
      </c>
      <c r="H54" s="143" t="s">
        <v>125</v>
      </c>
    </row>
    <row r="55" customFormat="false" ht="15" hidden="false" customHeight="true" outlineLevel="0" collapsed="false">
      <c r="A55" s="141" t="s">
        <v>192</v>
      </c>
      <c r="B55" s="142" t="s">
        <v>129</v>
      </c>
      <c r="C55" s="113" t="n">
        <v>1.28</v>
      </c>
      <c r="D55" s="138" t="n">
        <v>24.28</v>
      </c>
      <c r="E55" s="138" t="n">
        <v>27.24</v>
      </c>
      <c r="F55" s="115" t="n">
        <f aca="false">(D55+E55)/2</f>
        <v>25.76</v>
      </c>
      <c r="G55" s="139" t="n">
        <f aca="false">C55*F55/12</f>
        <v>2.74773333333333</v>
      </c>
      <c r="H55" s="143" t="s">
        <v>193</v>
      </c>
    </row>
    <row r="56" customFormat="false" ht="15" hidden="false" customHeight="true" outlineLevel="0" collapsed="false">
      <c r="A56" s="141" t="s">
        <v>194</v>
      </c>
      <c r="B56" s="142" t="s">
        <v>129</v>
      </c>
      <c r="C56" s="113" t="n">
        <v>0.99</v>
      </c>
      <c r="D56" s="138" t="n">
        <v>14.99</v>
      </c>
      <c r="E56" s="138" t="n">
        <v>18.84</v>
      </c>
      <c r="F56" s="115" t="n">
        <f aca="false">(D56+E56)/2</f>
        <v>16.915</v>
      </c>
      <c r="G56" s="139" t="n">
        <f aca="false">C56*F56/12</f>
        <v>1.3954875</v>
      </c>
      <c r="H56" s="143" t="s">
        <v>195</v>
      </c>
    </row>
    <row r="57" customFormat="false" ht="15" hidden="false" customHeight="true" outlineLevel="0" collapsed="false">
      <c r="A57" s="141" t="s">
        <v>196</v>
      </c>
      <c r="B57" s="142" t="s">
        <v>129</v>
      </c>
      <c r="C57" s="113" t="n">
        <v>3.9</v>
      </c>
      <c r="D57" s="138" t="n">
        <v>7.91</v>
      </c>
      <c r="E57" s="138" t="n">
        <v>8.61</v>
      </c>
      <c r="F57" s="115" t="n">
        <f aca="false">(D57+E57)/2</f>
        <v>8.26</v>
      </c>
      <c r="G57" s="139" t="n">
        <f aca="false">C57*F57/12</f>
        <v>2.6845</v>
      </c>
      <c r="H57" s="143" t="s">
        <v>197</v>
      </c>
    </row>
    <row r="58" customFormat="false" ht="15" hidden="false" customHeight="true" outlineLevel="0" collapsed="false">
      <c r="A58" s="147" t="s">
        <v>198</v>
      </c>
      <c r="B58" s="148" t="s">
        <v>129</v>
      </c>
      <c r="C58" s="113" t="n">
        <v>1.48</v>
      </c>
      <c r="D58" s="149" t="n">
        <v>16.07</v>
      </c>
      <c r="E58" s="149" t="n">
        <v>22.46</v>
      </c>
      <c r="F58" s="129" t="n">
        <f aca="false">(D58+E58)/2</f>
        <v>19.265</v>
      </c>
      <c r="G58" s="150" t="n">
        <f aca="false">C58*F58/12</f>
        <v>2.37601666666667</v>
      </c>
      <c r="H58" s="151" t="s">
        <v>125</v>
      </c>
    </row>
    <row r="59" customFormat="false" ht="20.25" hidden="false" customHeight="true" outlineLevel="0" collapsed="false">
      <c r="A59" s="132" t="s">
        <v>199</v>
      </c>
      <c r="B59" s="132"/>
      <c r="C59" s="132"/>
      <c r="D59" s="132"/>
      <c r="E59" s="132"/>
      <c r="F59" s="132"/>
      <c r="G59" s="133" t="n">
        <f aca="false">SUM(G40:G58)</f>
        <v>51.4373166666667</v>
      </c>
    </row>
    <row r="60" customFormat="false" ht="20.25" hidden="false" customHeight="true" outlineLevel="0" collapsed="false">
      <c r="A60" s="132" t="s">
        <v>200</v>
      </c>
      <c r="B60" s="132"/>
      <c r="C60" s="132"/>
      <c r="D60" s="132"/>
      <c r="E60" s="132"/>
      <c r="F60" s="132"/>
      <c r="G60" s="152" t="n">
        <f aca="false">G59+G37</f>
        <v>461.231116666667</v>
      </c>
    </row>
    <row r="61" customFormat="false" ht="14.25" hidden="false" customHeight="false" outlineLevel="0" collapsed="false">
      <c r="A61" s="153"/>
      <c r="B61" s="154"/>
      <c r="C61" s="154"/>
      <c r="D61" s="154"/>
      <c r="E61" s="154"/>
      <c r="F61" s="154"/>
      <c r="G61" s="154"/>
      <c r="H61" s="155"/>
    </row>
    <row r="62" customFormat="false" ht="20.25" hidden="false" customHeight="true" outlineLevel="0" collapsed="false">
      <c r="A62" s="97" t="s">
        <v>201</v>
      </c>
      <c r="B62" s="97"/>
      <c r="C62" s="97"/>
      <c r="D62" s="97"/>
      <c r="E62" s="97"/>
      <c r="F62" s="97"/>
      <c r="G62" s="97"/>
      <c r="H62" s="97"/>
    </row>
    <row r="63" customFormat="false" ht="54.75" hidden="false" customHeight="true" outlineLevel="0" collapsed="false">
      <c r="A63" s="156" t="s">
        <v>95</v>
      </c>
      <c r="B63" s="157" t="s">
        <v>96</v>
      </c>
      <c r="C63" s="157" t="s">
        <v>202</v>
      </c>
      <c r="D63" s="104" t="s">
        <v>203</v>
      </c>
      <c r="E63" s="104" t="s">
        <v>99</v>
      </c>
      <c r="F63" s="105" t="s">
        <v>100</v>
      </c>
      <c r="G63" s="106" t="s">
        <v>204</v>
      </c>
      <c r="H63" s="158" t="s">
        <v>102</v>
      </c>
    </row>
    <row r="64" customFormat="false" ht="15" hidden="false" customHeight="true" outlineLevel="0" collapsed="false">
      <c r="A64" s="144" t="s">
        <v>205</v>
      </c>
      <c r="B64" s="142" t="s">
        <v>105</v>
      </c>
      <c r="C64" s="159" t="n">
        <f aca="false">0.1*22</f>
        <v>2.2</v>
      </c>
      <c r="D64" s="138" t="n">
        <v>36.18</v>
      </c>
      <c r="E64" s="138" t="n">
        <v>34.57</v>
      </c>
      <c r="F64" s="115" t="n">
        <f aca="false">(D64+E64)/2</f>
        <v>35.375</v>
      </c>
      <c r="G64" s="116" t="n">
        <f aca="false">C64*F64</f>
        <v>77.825</v>
      </c>
      <c r="H64" s="121" t="s">
        <v>206</v>
      </c>
    </row>
    <row r="65" customFormat="false" ht="15" hidden="false" customHeight="true" outlineLevel="0" collapsed="false">
      <c r="A65" s="160" t="s">
        <v>115</v>
      </c>
      <c r="B65" s="142" t="s">
        <v>105</v>
      </c>
      <c r="C65" s="159" t="n">
        <f aca="false">0.5*22</f>
        <v>11</v>
      </c>
      <c r="D65" s="138" t="n">
        <v>7.25</v>
      </c>
      <c r="E65" s="138" t="n">
        <v>6.84</v>
      </c>
      <c r="F65" s="115" t="n">
        <f aca="false">(D65+E65)/2</f>
        <v>7.045</v>
      </c>
      <c r="G65" s="116" t="n">
        <f aca="false">C65*F65</f>
        <v>77.495</v>
      </c>
      <c r="H65" s="121" t="s">
        <v>113</v>
      </c>
    </row>
    <row r="66" customFormat="false" ht="15" hidden="false" customHeight="true" outlineLevel="0" collapsed="false">
      <c r="A66" s="161" t="s">
        <v>134</v>
      </c>
      <c r="B66" s="148" t="s">
        <v>129</v>
      </c>
      <c r="C66" s="159" t="n">
        <v>4</v>
      </c>
      <c r="D66" s="138" t="n">
        <v>1.64</v>
      </c>
      <c r="E66" s="138" t="n">
        <v>2.9</v>
      </c>
      <c r="F66" s="115" t="n">
        <f aca="false">(D66+E66)/2</f>
        <v>2.27</v>
      </c>
      <c r="G66" s="116" t="n">
        <f aca="false">C66*F66</f>
        <v>9.08</v>
      </c>
      <c r="H66" s="162" t="s">
        <v>207</v>
      </c>
    </row>
    <row r="67" customFormat="false" ht="15" hidden="false" customHeight="true" outlineLevel="0" collapsed="false">
      <c r="A67" s="163" t="s">
        <v>208</v>
      </c>
      <c r="B67" s="142" t="s">
        <v>168</v>
      </c>
      <c r="C67" s="159" t="n">
        <f aca="false">4*2*22</f>
        <v>176</v>
      </c>
      <c r="D67" s="149" t="n">
        <v>0.44</v>
      </c>
      <c r="E67" s="149" t="n">
        <v>0.46</v>
      </c>
      <c r="F67" s="115" t="n">
        <f aca="false">(D67+E67)/2</f>
        <v>0.45</v>
      </c>
      <c r="G67" s="116" t="n">
        <f aca="false">C67*F67</f>
        <v>79.2</v>
      </c>
      <c r="H67" s="162" t="s">
        <v>209</v>
      </c>
    </row>
    <row r="68" customFormat="false" ht="35.25" hidden="false" customHeight="true" outlineLevel="0" collapsed="false">
      <c r="A68" s="156" t="s">
        <v>95</v>
      </c>
      <c r="B68" s="157" t="s">
        <v>96</v>
      </c>
      <c r="C68" s="157" t="s">
        <v>210</v>
      </c>
      <c r="D68" s="157" t="s">
        <v>203</v>
      </c>
      <c r="E68" s="157" t="s">
        <v>99</v>
      </c>
      <c r="F68" s="164" t="s">
        <v>100</v>
      </c>
      <c r="G68" s="106" t="s">
        <v>204</v>
      </c>
      <c r="H68" s="158" t="s">
        <v>102</v>
      </c>
    </row>
    <row r="69" customFormat="false" ht="15" hidden="false" customHeight="true" outlineLevel="0" collapsed="false">
      <c r="A69" s="136" t="s">
        <v>211</v>
      </c>
      <c r="B69" s="137" t="s">
        <v>129</v>
      </c>
      <c r="C69" s="159" t="n">
        <f aca="false">2*4</f>
        <v>8</v>
      </c>
      <c r="D69" s="138" t="n">
        <v>5.1</v>
      </c>
      <c r="E69" s="138" t="n">
        <v>5.45</v>
      </c>
      <c r="F69" s="115" t="n">
        <f aca="false">(D69+E69)/2</f>
        <v>5.275</v>
      </c>
      <c r="G69" s="150" t="n">
        <f aca="false">C69*F69/12</f>
        <v>3.51666666666667</v>
      </c>
      <c r="H69" s="151" t="s">
        <v>209</v>
      </c>
    </row>
    <row r="70" customFormat="false" ht="20.25" hidden="false" customHeight="true" outlineLevel="0" collapsed="false">
      <c r="A70" s="165" t="s">
        <v>212</v>
      </c>
      <c r="B70" s="165"/>
      <c r="C70" s="165"/>
      <c r="D70" s="165"/>
      <c r="E70" s="165"/>
      <c r="F70" s="165"/>
      <c r="G70" s="166" t="n">
        <f aca="false">G64+G65+G66+G67+G69</f>
        <v>247.116666666667</v>
      </c>
    </row>
    <row r="71" customFormat="false" ht="14.25" hidden="false" customHeight="false" outlineLevel="0" collapsed="false">
      <c r="A71" s="153"/>
      <c r="B71" s="154"/>
      <c r="C71" s="154"/>
      <c r="D71" s="154"/>
      <c r="E71" s="154"/>
      <c r="F71" s="154"/>
      <c r="G71" s="154"/>
      <c r="H71" s="154"/>
      <c r="I71" s="154"/>
    </row>
    <row r="72" customFormat="false" ht="14.25" hidden="false" customHeight="false" outlineLevel="0" collapsed="false">
      <c r="A72" s="154" t="s">
        <v>213</v>
      </c>
      <c r="B72" s="154"/>
      <c r="C72" s="154"/>
      <c r="D72" s="154"/>
      <c r="E72" s="167"/>
      <c r="F72" s="154"/>
      <c r="G72" s="154"/>
      <c r="H72" s="155"/>
      <c r="I72" s="155"/>
    </row>
    <row r="73" customFormat="false" ht="14.25" hidden="false" customHeight="false" outlineLevel="0" collapsed="false">
      <c r="A73" s="154"/>
      <c r="B73" s="154"/>
      <c r="C73" s="154"/>
      <c r="D73" s="154"/>
      <c r="E73" s="167"/>
      <c r="F73" s="154"/>
      <c r="G73" s="167"/>
      <c r="H73" s="155"/>
      <c r="I73" s="155"/>
    </row>
    <row r="74" customFormat="false" ht="14.25" hidden="false" customHeight="false" outlineLevel="0" collapsed="false">
      <c r="A74" s="154" t="s">
        <v>214</v>
      </c>
      <c r="B74" s="154"/>
      <c r="C74" s="154"/>
      <c r="D74" s="154"/>
      <c r="E74" s="154"/>
      <c r="F74" s="154"/>
      <c r="G74" s="154"/>
      <c r="H74" s="154"/>
      <c r="I74" s="154"/>
    </row>
    <row r="75" customFormat="false" ht="14.25" hidden="false" customHeight="false" outlineLevel="0" collapsed="false">
      <c r="A75" s="154" t="s">
        <v>215</v>
      </c>
      <c r="B75" s="154"/>
      <c r="C75" s="154"/>
      <c r="D75" s="154"/>
      <c r="E75" s="154"/>
      <c r="F75" s="154"/>
      <c r="G75" s="154"/>
      <c r="H75" s="167"/>
      <c r="I75" s="167"/>
    </row>
    <row r="76" customFormat="false" ht="14.25" hidden="false" customHeight="false" outlineLevel="0" collapsed="false">
      <c r="A76" s="154" t="s">
        <v>216</v>
      </c>
      <c r="B76" s="154"/>
      <c r="C76" s="154"/>
      <c r="D76" s="154"/>
      <c r="E76" s="154"/>
      <c r="F76" s="154"/>
      <c r="G76" s="154"/>
      <c r="H76" s="168"/>
      <c r="I76" s="168"/>
    </row>
    <row r="77" customFormat="false" ht="14.25" hidden="false" customHeight="false" outlineLevel="0" collapsed="false">
      <c r="A77" s="154" t="s">
        <v>217</v>
      </c>
      <c r="B77" s="154"/>
      <c r="C77" s="154"/>
      <c r="D77" s="154"/>
      <c r="E77" s="154"/>
      <c r="F77" s="154"/>
      <c r="G77" s="154"/>
      <c r="H77" s="167"/>
      <c r="I77" s="167"/>
    </row>
    <row r="78" customFormat="false" ht="14.25" hidden="false" customHeight="false" outlineLevel="0" collapsed="false">
      <c r="A78" s="154" t="s">
        <v>218</v>
      </c>
      <c r="B78" s="154"/>
      <c r="C78" s="154"/>
      <c r="D78" s="154"/>
      <c r="E78" s="154"/>
      <c r="F78" s="154"/>
      <c r="G78" s="154"/>
      <c r="H78" s="154"/>
      <c r="I78" s="154"/>
    </row>
    <row r="79" customFormat="false" ht="14.25" hidden="false" customHeight="false" outlineLevel="0" collapsed="false">
      <c r="A79" s="154" t="s">
        <v>219</v>
      </c>
      <c r="B79" s="154"/>
      <c r="C79" s="154"/>
      <c r="D79" s="154"/>
      <c r="E79" s="154"/>
      <c r="F79" s="154"/>
      <c r="G79" s="154"/>
      <c r="H79" s="154"/>
      <c r="I79" s="154"/>
    </row>
    <row r="80" customFormat="false" ht="14.25" hidden="false" customHeight="false" outlineLevel="0" collapsed="false">
      <c r="A80" s="154" t="s">
        <v>220</v>
      </c>
      <c r="B80" s="154"/>
      <c r="C80" s="154"/>
      <c r="D80" s="154"/>
      <c r="E80" s="154"/>
      <c r="F80" s="154"/>
      <c r="G80" s="154"/>
      <c r="H80" s="154"/>
      <c r="I80" s="154"/>
    </row>
    <row r="81" customFormat="false" ht="14.25" hidden="false" customHeight="false" outlineLevel="0" collapsed="false">
      <c r="A81" s="154" t="s">
        <v>221</v>
      </c>
      <c r="B81" s="154"/>
      <c r="C81" s="154"/>
      <c r="D81" s="154"/>
      <c r="E81" s="154"/>
      <c r="F81" s="154"/>
      <c r="G81" s="154"/>
      <c r="H81" s="154"/>
      <c r="I81" s="154"/>
    </row>
    <row r="82" customFormat="false" ht="14.25" hidden="false" customHeight="false" outlineLevel="0" collapsed="false">
      <c r="A82" s="154" t="s">
        <v>222</v>
      </c>
      <c r="B82" s="154"/>
      <c r="C82" s="154"/>
      <c r="D82" s="154"/>
      <c r="E82" s="154"/>
      <c r="F82" s="154"/>
      <c r="G82" s="154"/>
      <c r="H82" s="154"/>
      <c r="I82" s="154"/>
    </row>
    <row r="83" customFormat="false" ht="14.25" hidden="false" customHeight="false" outlineLevel="0" collapsed="false">
      <c r="A83" s="154" t="s">
        <v>223</v>
      </c>
      <c r="B83" s="154"/>
      <c r="C83" s="154"/>
      <c r="D83" s="154"/>
      <c r="E83" s="154"/>
      <c r="F83" s="154"/>
      <c r="G83" s="154"/>
      <c r="H83" s="154"/>
      <c r="I83" s="154"/>
    </row>
    <row r="84" customFormat="false" ht="14.25" hidden="false" customHeight="false" outlineLevel="0" collapsed="false">
      <c r="A84" s="153"/>
      <c r="B84" s="154"/>
      <c r="C84" s="154"/>
      <c r="D84" s="154"/>
      <c r="E84" s="154"/>
      <c r="F84" s="154"/>
      <c r="G84" s="154"/>
      <c r="H84" s="154"/>
      <c r="I84" s="154"/>
    </row>
    <row r="85" customFormat="false" ht="15" hidden="false" customHeight="false" outlineLevel="0" collapsed="false">
      <c r="A85" s="153"/>
      <c r="B85" s="154"/>
      <c r="C85" s="154"/>
      <c r="D85" s="154"/>
      <c r="E85" s="154"/>
      <c r="F85" s="154"/>
      <c r="G85" s="154"/>
      <c r="H85" s="154"/>
      <c r="I85" s="154"/>
    </row>
    <row r="86" customFormat="false" ht="20.25" hidden="false" customHeight="true" outlineLevel="0" collapsed="false">
      <c r="A86" s="169" t="s">
        <v>224</v>
      </c>
      <c r="B86" s="169"/>
      <c r="C86" s="169"/>
      <c r="D86" s="169"/>
      <c r="E86" s="169"/>
      <c r="F86" s="169"/>
      <c r="G86" s="169"/>
    </row>
    <row r="87" s="174" customFormat="true" ht="36.75" hidden="false" customHeight="false" outlineLevel="0" collapsed="false">
      <c r="A87" s="170" t="s">
        <v>95</v>
      </c>
      <c r="B87" s="171" t="s">
        <v>96</v>
      </c>
      <c r="C87" s="171" t="s">
        <v>225</v>
      </c>
      <c r="D87" s="171" t="s">
        <v>203</v>
      </c>
      <c r="E87" s="172" t="s">
        <v>99</v>
      </c>
      <c r="F87" s="172" t="s">
        <v>100</v>
      </c>
      <c r="G87" s="173" t="s">
        <v>226</v>
      </c>
    </row>
    <row r="88" customFormat="false" ht="15" hidden="false" customHeight="true" outlineLevel="0" collapsed="false">
      <c r="A88" s="160" t="s">
        <v>227</v>
      </c>
      <c r="B88" s="137" t="s">
        <v>129</v>
      </c>
      <c r="C88" s="137" t="n">
        <v>14</v>
      </c>
      <c r="D88" s="138" t="n">
        <v>397.54</v>
      </c>
      <c r="E88" s="175" t="n">
        <v>249.3</v>
      </c>
      <c r="F88" s="115" t="n">
        <f aca="false">(D88+E88)/2</f>
        <v>323.42</v>
      </c>
      <c r="G88" s="116" t="n">
        <f aca="false">(C88*F88)</f>
        <v>4527.88</v>
      </c>
    </row>
    <row r="89" customFormat="false" ht="15" hidden="false" customHeight="true" outlineLevel="0" collapsed="false">
      <c r="A89" s="160" t="s">
        <v>228</v>
      </c>
      <c r="B89" s="142" t="s">
        <v>129</v>
      </c>
      <c r="C89" s="137" t="n">
        <f aca="false">C88</f>
        <v>14</v>
      </c>
      <c r="D89" s="138" t="n">
        <v>89.63</v>
      </c>
      <c r="E89" s="175" t="n">
        <v>94.72</v>
      </c>
      <c r="F89" s="115" t="n">
        <f aca="false">(D89+E89)/2</f>
        <v>92.175</v>
      </c>
      <c r="G89" s="116" t="n">
        <f aca="false">(C89*F89)</f>
        <v>1290.45</v>
      </c>
    </row>
    <row r="90" customFormat="false" ht="15" hidden="false" customHeight="true" outlineLevel="0" collapsed="false">
      <c r="A90" s="160" t="s">
        <v>229</v>
      </c>
      <c r="B90" s="142" t="s">
        <v>129</v>
      </c>
      <c r="C90" s="137" t="n">
        <f aca="false">C88</f>
        <v>14</v>
      </c>
      <c r="D90" s="138" t="n">
        <v>762.14</v>
      </c>
      <c r="E90" s="175" t="n">
        <v>710.18</v>
      </c>
      <c r="F90" s="115" t="n">
        <f aca="false">(D90+E90)/2</f>
        <v>736.16</v>
      </c>
      <c r="G90" s="116" t="n">
        <f aca="false">(C90*F90)</f>
        <v>10306.24</v>
      </c>
    </row>
    <row r="91" customFormat="false" ht="15" hidden="false" customHeight="true" outlineLevel="0" collapsed="false">
      <c r="A91" s="160" t="s">
        <v>230</v>
      </c>
      <c r="B91" s="142" t="s">
        <v>129</v>
      </c>
      <c r="C91" s="137" t="n">
        <f aca="false">C88</f>
        <v>14</v>
      </c>
      <c r="D91" s="138" t="n">
        <v>1854.64</v>
      </c>
      <c r="E91" s="175" t="n">
        <v>1694.57</v>
      </c>
      <c r="F91" s="115" t="n">
        <f aca="false">(D91+E91)/2</f>
        <v>1774.605</v>
      </c>
      <c r="G91" s="116" t="n">
        <f aca="false">(C91*F91)</f>
        <v>24844.47</v>
      </c>
    </row>
    <row r="92" customFormat="false" ht="15" hidden="false" customHeight="true" outlineLevel="0" collapsed="false">
      <c r="A92" s="160" t="s">
        <v>231</v>
      </c>
      <c r="B92" s="142" t="s">
        <v>129</v>
      </c>
      <c r="C92" s="137" t="n">
        <f aca="false">C88</f>
        <v>14</v>
      </c>
      <c r="D92" s="138" t="n">
        <v>198.83</v>
      </c>
      <c r="E92" s="175" t="n">
        <v>181.11</v>
      </c>
      <c r="F92" s="115" t="n">
        <f aca="false">(D92+E92)/2</f>
        <v>189.97</v>
      </c>
      <c r="G92" s="116" t="n">
        <f aca="false">(C92*F92)</f>
        <v>2659.58</v>
      </c>
    </row>
    <row r="93" customFormat="false" ht="15" hidden="false" customHeight="true" outlineLevel="0" collapsed="false">
      <c r="A93" s="160" t="s">
        <v>232</v>
      </c>
      <c r="B93" s="142" t="s">
        <v>129</v>
      </c>
      <c r="C93" s="137" t="n">
        <f aca="false">C88</f>
        <v>14</v>
      </c>
      <c r="D93" s="138" t="n">
        <v>79.3</v>
      </c>
      <c r="E93" s="175" t="n">
        <v>91.34</v>
      </c>
      <c r="F93" s="115" t="n">
        <f aca="false">(D93+E93)/2</f>
        <v>85.32</v>
      </c>
      <c r="G93" s="116" t="n">
        <f aca="false">(C93*F93)</f>
        <v>1194.48</v>
      </c>
    </row>
    <row r="94" customFormat="false" ht="15" hidden="false" customHeight="true" outlineLevel="0" collapsed="false">
      <c r="A94" s="160" t="s">
        <v>233</v>
      </c>
      <c r="B94" s="142" t="s">
        <v>129</v>
      </c>
      <c r="C94" s="137" t="n">
        <f aca="false">C88</f>
        <v>14</v>
      </c>
      <c r="D94" s="138" t="n">
        <v>751.56</v>
      </c>
      <c r="E94" s="175" t="n">
        <v>452.92</v>
      </c>
      <c r="F94" s="115" t="n">
        <f aca="false">(D94+E94)/2</f>
        <v>602.24</v>
      </c>
      <c r="G94" s="116" t="n">
        <f aca="false">(C94*F94)</f>
        <v>8431.36</v>
      </c>
    </row>
    <row r="95" customFormat="false" ht="15" hidden="false" customHeight="true" outlineLevel="0" collapsed="false">
      <c r="A95" s="160" t="s">
        <v>234</v>
      </c>
      <c r="B95" s="142" t="s">
        <v>129</v>
      </c>
      <c r="C95" s="137" t="n">
        <f aca="false">C88</f>
        <v>14</v>
      </c>
      <c r="D95" s="138" t="n">
        <v>71.43</v>
      </c>
      <c r="E95" s="175" t="n">
        <v>69.9</v>
      </c>
      <c r="F95" s="115" t="n">
        <f aca="false">(D95+E95)/2</f>
        <v>70.665</v>
      </c>
      <c r="G95" s="116" t="n">
        <f aca="false">(C95*F95)</f>
        <v>989.31</v>
      </c>
    </row>
    <row r="96" customFormat="false" ht="15" hidden="false" customHeight="true" outlineLevel="0" collapsed="false">
      <c r="A96" s="160" t="s">
        <v>235</v>
      </c>
      <c r="B96" s="142" t="s">
        <v>129</v>
      </c>
      <c r="C96" s="137" t="n">
        <f aca="false">C88*2</f>
        <v>28</v>
      </c>
      <c r="D96" s="138" t="n">
        <v>39.53</v>
      </c>
      <c r="E96" s="175" t="n">
        <v>40.41</v>
      </c>
      <c r="F96" s="129" t="n">
        <f aca="false">(D96+E96)/2</f>
        <v>39.97</v>
      </c>
      <c r="G96" s="116" t="n">
        <f aca="false">(C96*F96)</f>
        <v>1119.16</v>
      </c>
    </row>
    <row r="97" customFormat="false" ht="15" hidden="false" customHeight="true" outlineLevel="0" collapsed="false">
      <c r="A97" s="176" t="s">
        <v>236</v>
      </c>
      <c r="B97" s="142" t="s">
        <v>129</v>
      </c>
      <c r="C97" s="137" t="n">
        <v>0</v>
      </c>
      <c r="D97" s="177" t="n">
        <v>23.07</v>
      </c>
      <c r="E97" s="178" t="n">
        <v>25.51</v>
      </c>
      <c r="F97" s="177" t="n">
        <v>24.29</v>
      </c>
      <c r="G97" s="116" t="n">
        <f aca="false">(C97*F97)</f>
        <v>0</v>
      </c>
    </row>
    <row r="98" customFormat="false" ht="20.25" hidden="false" customHeight="true" outlineLevel="0" collapsed="false">
      <c r="A98" s="179" t="s">
        <v>237</v>
      </c>
      <c r="B98" s="179"/>
      <c r="C98" s="179"/>
      <c r="D98" s="179"/>
      <c r="E98" s="179"/>
      <c r="F98" s="179"/>
      <c r="G98" s="180" t="n">
        <f aca="false">SUM(G88:G97)</f>
        <v>55362.93</v>
      </c>
    </row>
    <row r="99" customFormat="false" ht="20.25" hidden="false" customHeight="true" outlineLevel="0" collapsed="false">
      <c r="A99" s="179" t="s">
        <v>238</v>
      </c>
      <c r="B99" s="179"/>
      <c r="C99" s="179"/>
      <c r="D99" s="179"/>
      <c r="E99" s="179"/>
      <c r="F99" s="179"/>
      <c r="G99" s="181" t="n">
        <f aca="false">G98/120</f>
        <v>461.35775</v>
      </c>
    </row>
    <row r="100" customFormat="false" ht="20.25" hidden="false" customHeight="true" outlineLevel="0" collapsed="false">
      <c r="A100" s="179" t="s">
        <v>239</v>
      </c>
      <c r="B100" s="179"/>
      <c r="C100" s="179"/>
      <c r="D100" s="179"/>
      <c r="E100" s="179"/>
      <c r="F100" s="179"/>
      <c r="G100" s="180" t="n">
        <f aca="false">G99/'Prod. GEXSTM'!Q19</f>
        <v>20.9708068181818</v>
      </c>
    </row>
    <row r="101" customFormat="false" ht="14.25" hidden="false" customHeight="false" outlineLevel="0" collapsed="false">
      <c r="A101" s="153"/>
      <c r="B101" s="154"/>
      <c r="C101" s="154"/>
      <c r="D101" s="154"/>
      <c r="E101" s="154"/>
      <c r="F101" s="154"/>
      <c r="G101" s="167"/>
      <c r="H101" s="154"/>
      <c r="I101" s="154"/>
      <c r="J101" s="154"/>
    </row>
    <row r="102" customFormat="false" ht="14.25" hidden="false" customHeight="false" outlineLevel="0" collapsed="false">
      <c r="A102" s="153"/>
      <c r="B102" s="154"/>
      <c r="C102" s="154"/>
      <c r="D102" s="154"/>
      <c r="E102" s="154"/>
      <c r="F102" s="154"/>
      <c r="G102" s="154"/>
      <c r="H102" s="154"/>
      <c r="I102" s="154"/>
      <c r="J102" s="154"/>
    </row>
    <row r="103" customFormat="false" ht="15" hidden="false" customHeight="false" outlineLevel="0" collapsed="false">
      <c r="A103" s="153"/>
      <c r="B103" s="154"/>
      <c r="C103" s="154"/>
      <c r="D103" s="154"/>
      <c r="E103" s="154"/>
      <c r="F103" s="154"/>
      <c r="G103" s="154"/>
      <c r="H103" s="154"/>
      <c r="I103" s="154"/>
      <c r="J103" s="154"/>
    </row>
    <row r="104" customFormat="false" ht="20.25" hidden="false" customHeight="true" outlineLevel="0" collapsed="false">
      <c r="A104" s="182" t="s">
        <v>240</v>
      </c>
      <c r="B104" s="182"/>
      <c r="C104" s="182"/>
      <c r="D104" s="182"/>
      <c r="E104" s="182"/>
      <c r="F104" s="182"/>
      <c r="G104" s="182"/>
    </row>
    <row r="105" s="174" customFormat="true" ht="47.25" hidden="false" customHeight="true" outlineLevel="0" collapsed="false">
      <c r="A105" s="183" t="s">
        <v>95</v>
      </c>
      <c r="B105" s="184" t="s">
        <v>96</v>
      </c>
      <c r="C105" s="184" t="s">
        <v>241</v>
      </c>
      <c r="D105" s="184" t="s">
        <v>242</v>
      </c>
      <c r="E105" s="185" t="s">
        <v>243</v>
      </c>
      <c r="F105" s="185" t="s">
        <v>244</v>
      </c>
      <c r="G105" s="186" t="s">
        <v>245</v>
      </c>
    </row>
    <row r="106" customFormat="false" ht="20.25" hidden="false" customHeight="true" outlineLevel="0" collapsed="false">
      <c r="A106" s="187" t="s">
        <v>246</v>
      </c>
      <c r="B106" s="187"/>
      <c r="C106" s="187"/>
      <c r="D106" s="187"/>
      <c r="E106" s="187"/>
      <c r="F106" s="187"/>
      <c r="G106" s="188" t="n">
        <f aca="false">SUM(G107:G112)</f>
        <v>27.8754166666667</v>
      </c>
    </row>
    <row r="107" customFormat="false" ht="15" hidden="false" customHeight="true" outlineLevel="0" collapsed="false">
      <c r="A107" s="136" t="s">
        <v>247</v>
      </c>
      <c r="B107" s="137" t="s">
        <v>129</v>
      </c>
      <c r="C107" s="137" t="n">
        <v>2</v>
      </c>
      <c r="D107" s="177" t="n">
        <v>17.81</v>
      </c>
      <c r="E107" s="189" t="n">
        <v>24.93</v>
      </c>
      <c r="F107" s="115" t="n">
        <f aca="false">(D107+E107)/2</f>
        <v>21.37</v>
      </c>
      <c r="G107" s="116" t="n">
        <f aca="false">(C107*$F107)/12</f>
        <v>3.56166666666667</v>
      </c>
    </row>
    <row r="108" customFormat="false" ht="15" hidden="false" customHeight="true" outlineLevel="0" collapsed="false">
      <c r="A108" s="141" t="s">
        <v>248</v>
      </c>
      <c r="B108" s="142" t="s">
        <v>129</v>
      </c>
      <c r="C108" s="142" t="n">
        <v>1</v>
      </c>
      <c r="D108" s="177" t="n">
        <v>38.08</v>
      </c>
      <c r="E108" s="189" t="n">
        <v>40.88</v>
      </c>
      <c r="F108" s="115" t="n">
        <f aca="false">(D108+E108)/2</f>
        <v>39.48</v>
      </c>
      <c r="G108" s="116" t="n">
        <f aca="false">(C108*$F108)/12</f>
        <v>3.29</v>
      </c>
    </row>
    <row r="109" customFormat="false" ht="15" hidden="false" customHeight="true" outlineLevel="0" collapsed="false">
      <c r="A109" s="141" t="s">
        <v>249</v>
      </c>
      <c r="B109" s="142" t="s">
        <v>129</v>
      </c>
      <c r="C109" s="142" t="n">
        <v>2</v>
      </c>
      <c r="D109" s="177" t="n">
        <v>48.63</v>
      </c>
      <c r="E109" s="189" t="n">
        <v>58.87</v>
      </c>
      <c r="F109" s="115" t="n">
        <f aca="false">(D109+E109)/2</f>
        <v>53.75</v>
      </c>
      <c r="G109" s="116" t="n">
        <f aca="false">(C109*$F109)/12</f>
        <v>8.95833333333333</v>
      </c>
    </row>
    <row r="110" customFormat="false" ht="15" hidden="false" customHeight="true" outlineLevel="0" collapsed="false">
      <c r="A110" s="141" t="s">
        <v>250</v>
      </c>
      <c r="B110" s="142" t="s">
        <v>129</v>
      </c>
      <c r="C110" s="142" t="n">
        <v>2</v>
      </c>
      <c r="D110" s="177" t="n">
        <v>19.15</v>
      </c>
      <c r="E110" s="189" t="n">
        <v>28.23</v>
      </c>
      <c r="F110" s="115" t="n">
        <f aca="false">(D110+E110)/2</f>
        <v>23.69</v>
      </c>
      <c r="G110" s="116" t="n">
        <f aca="false">(C110*$F110)/12</f>
        <v>3.94833333333333</v>
      </c>
    </row>
    <row r="111" customFormat="false" ht="15" hidden="false" customHeight="true" outlineLevel="0" collapsed="false">
      <c r="A111" s="147" t="s">
        <v>251</v>
      </c>
      <c r="B111" s="148" t="s">
        <v>129</v>
      </c>
      <c r="C111" s="148" t="n">
        <v>1</v>
      </c>
      <c r="D111" s="190" t="n">
        <v>9.18</v>
      </c>
      <c r="E111" s="191" t="n">
        <v>9.37</v>
      </c>
      <c r="F111" s="115" t="n">
        <f aca="false">(D111+E111)/2</f>
        <v>9.275</v>
      </c>
      <c r="G111" s="116" t="n">
        <f aca="false">(C111*$F111)/12</f>
        <v>0.772916666666667</v>
      </c>
    </row>
    <row r="112" customFormat="false" ht="15" hidden="false" customHeight="true" outlineLevel="0" collapsed="false">
      <c r="A112" s="192" t="s">
        <v>252</v>
      </c>
      <c r="B112" s="193" t="s">
        <v>149</v>
      </c>
      <c r="C112" s="193" t="n">
        <v>2</v>
      </c>
      <c r="D112" s="194" t="n">
        <v>47.88</v>
      </c>
      <c r="E112" s="195" t="n">
        <v>40.25</v>
      </c>
      <c r="F112" s="196" t="n">
        <f aca="false">(D112+E112)/2</f>
        <v>44.065</v>
      </c>
      <c r="G112" s="116" t="n">
        <f aca="false">(C112*$F112)/12</f>
        <v>7.34416666666667</v>
      </c>
    </row>
    <row r="113" customFormat="false" ht="20.25" hidden="false" customHeight="true" outlineLevel="0" collapsed="false">
      <c r="A113" s="187" t="s">
        <v>253</v>
      </c>
      <c r="B113" s="187"/>
      <c r="C113" s="187"/>
      <c r="D113" s="187"/>
      <c r="E113" s="187"/>
      <c r="F113" s="187"/>
      <c r="G113" s="188" t="n">
        <f aca="false">SUM(G114:G117)</f>
        <v>34.0304166666667</v>
      </c>
    </row>
    <row r="114" customFormat="false" ht="15" hidden="false" customHeight="true" outlineLevel="0" collapsed="false">
      <c r="A114" s="160" t="s">
        <v>254</v>
      </c>
      <c r="B114" s="137" t="s">
        <v>129</v>
      </c>
      <c r="C114" s="137" t="n">
        <v>2</v>
      </c>
      <c r="D114" s="177" t="n">
        <v>52.12</v>
      </c>
      <c r="E114" s="189" t="n">
        <v>57.27</v>
      </c>
      <c r="F114" s="115" t="n">
        <f aca="false">(D114+E114)/2</f>
        <v>54.695</v>
      </c>
      <c r="G114" s="116" t="n">
        <f aca="false">(C114*$F114)/12</f>
        <v>9.11583333333333</v>
      </c>
    </row>
    <row r="115" customFormat="false" ht="15" hidden="false" customHeight="true" outlineLevel="0" collapsed="false">
      <c r="A115" s="160" t="s">
        <v>255</v>
      </c>
      <c r="B115" s="142" t="s">
        <v>129</v>
      </c>
      <c r="C115" s="142" t="n">
        <v>2</v>
      </c>
      <c r="D115" s="177" t="n">
        <v>58.38</v>
      </c>
      <c r="E115" s="189" t="n">
        <v>63.97</v>
      </c>
      <c r="F115" s="115" t="n">
        <f aca="false">(D115+E115)/2</f>
        <v>61.175</v>
      </c>
      <c r="G115" s="116" t="n">
        <f aca="false">(C115*$F115)/12</f>
        <v>10.1958333333333</v>
      </c>
    </row>
    <row r="116" customFormat="false" ht="15" hidden="false" customHeight="true" outlineLevel="0" collapsed="false">
      <c r="A116" s="160" t="s">
        <v>256</v>
      </c>
      <c r="B116" s="142" t="s">
        <v>129</v>
      </c>
      <c r="C116" s="142" t="n">
        <v>1</v>
      </c>
      <c r="D116" s="177" t="n">
        <v>9.18</v>
      </c>
      <c r="E116" s="189" t="n">
        <v>9.37</v>
      </c>
      <c r="F116" s="115" t="n">
        <f aca="false">(D116+E116)/2</f>
        <v>9.275</v>
      </c>
      <c r="G116" s="116" t="n">
        <f aca="false">(C116*$F116)/12</f>
        <v>0.772916666666667</v>
      </c>
    </row>
    <row r="117" customFormat="false" ht="15" hidden="false" customHeight="true" outlineLevel="0" collapsed="false">
      <c r="A117" s="161" t="s">
        <v>257</v>
      </c>
      <c r="B117" s="148" t="s">
        <v>149</v>
      </c>
      <c r="C117" s="148" t="n">
        <v>2</v>
      </c>
      <c r="D117" s="190" t="n">
        <v>82.38</v>
      </c>
      <c r="E117" s="191" t="n">
        <v>84.97</v>
      </c>
      <c r="F117" s="115" t="n">
        <f aca="false">(D117+E117)/2</f>
        <v>83.675</v>
      </c>
      <c r="G117" s="116" t="n">
        <f aca="false">(C117*$F117)/12</f>
        <v>13.9458333333333</v>
      </c>
    </row>
    <row r="118" customFormat="false" ht="20.25" hidden="false" customHeight="true" outlineLevel="0" collapsed="false">
      <c r="A118" s="197" t="s">
        <v>258</v>
      </c>
      <c r="B118" s="197"/>
      <c r="C118" s="197"/>
      <c r="D118" s="197"/>
      <c r="E118" s="197"/>
      <c r="F118" s="197"/>
      <c r="G118" s="198" t="n">
        <f aca="false">G106</f>
        <v>27.8754166666667</v>
      </c>
    </row>
    <row r="119" customFormat="false" ht="20.25" hidden="false" customHeight="true" outlineLevel="0" collapsed="false">
      <c r="A119" s="197" t="s">
        <v>259</v>
      </c>
      <c r="B119" s="197"/>
      <c r="C119" s="197"/>
      <c r="D119" s="197"/>
      <c r="E119" s="197"/>
      <c r="F119" s="197"/>
      <c r="G119" s="198" t="n">
        <f aca="false">G113</f>
        <v>34.0304166666667</v>
      </c>
    </row>
    <row r="120" customFormat="false" ht="15" hidden="false" customHeight="false" outlineLevel="0" collapsed="false">
      <c r="A120" s="153"/>
      <c r="B120" s="154"/>
      <c r="C120" s="154"/>
      <c r="D120" s="154"/>
      <c r="E120" s="154"/>
      <c r="F120" s="154"/>
      <c r="G120" s="154"/>
      <c r="H120" s="154"/>
      <c r="I120" s="154"/>
      <c r="J120" s="154"/>
    </row>
    <row r="121" customFormat="false" ht="20.25" hidden="false" customHeight="true" outlineLevel="0" collapsed="false">
      <c r="A121" s="199" t="s">
        <v>260</v>
      </c>
      <c r="B121" s="199"/>
      <c r="C121" s="199"/>
      <c r="D121" s="199"/>
      <c r="E121" s="199"/>
      <c r="F121" s="199"/>
      <c r="G121" s="199"/>
      <c r="H121" s="199"/>
      <c r="I121" s="199"/>
    </row>
    <row r="122" s="174" customFormat="true" ht="59.25" hidden="false" customHeight="true" outlineLevel="0" collapsed="false">
      <c r="A122" s="200" t="s">
        <v>95</v>
      </c>
      <c r="B122" s="201" t="s">
        <v>96</v>
      </c>
      <c r="C122" s="201" t="s">
        <v>261</v>
      </c>
      <c r="D122" s="201" t="s">
        <v>262</v>
      </c>
      <c r="E122" s="201" t="s">
        <v>203</v>
      </c>
      <c r="F122" s="202" t="s">
        <v>263</v>
      </c>
      <c r="G122" s="202" t="s">
        <v>244</v>
      </c>
      <c r="H122" s="203" t="s">
        <v>264</v>
      </c>
      <c r="I122" s="203" t="s">
        <v>265</v>
      </c>
    </row>
    <row r="123" customFormat="false" ht="20.25" hidden="false" customHeight="true" outlineLevel="0" collapsed="false">
      <c r="A123" s="204" t="s">
        <v>266</v>
      </c>
      <c r="B123" s="204"/>
      <c r="C123" s="204"/>
      <c r="D123" s="204"/>
      <c r="E123" s="204"/>
      <c r="F123" s="204"/>
      <c r="G123" s="204"/>
      <c r="H123" s="205" t="n">
        <f aca="false">SUM(H124:H128)</f>
        <v>122.523333333333</v>
      </c>
      <c r="I123" s="205" t="n">
        <f aca="false">SUM(I124:I128)</f>
        <v>142.213333333333</v>
      </c>
    </row>
    <row r="124" customFormat="false" ht="15" hidden="false" customHeight="true" outlineLevel="0" collapsed="false">
      <c r="A124" s="160" t="s">
        <v>267</v>
      </c>
      <c r="B124" s="206" t="s">
        <v>129</v>
      </c>
      <c r="C124" s="137" t="n">
        <f aca="false">22</f>
        <v>22</v>
      </c>
      <c r="D124" s="137" t="n">
        <f aca="false">22</f>
        <v>22</v>
      </c>
      <c r="E124" s="177" t="n">
        <v>2.83</v>
      </c>
      <c r="F124" s="138" t="n">
        <v>4.34</v>
      </c>
      <c r="G124" s="115" t="n">
        <f aca="false">(E124+F124)/2</f>
        <v>3.585</v>
      </c>
      <c r="H124" s="207" t="n">
        <f aca="false">C124*G124</f>
        <v>78.87</v>
      </c>
      <c r="I124" s="208" t="n">
        <f aca="false">D124*G124</f>
        <v>78.87</v>
      </c>
    </row>
    <row r="125" customFormat="false" ht="15" hidden="false" customHeight="true" outlineLevel="0" collapsed="false">
      <c r="A125" s="160" t="s">
        <v>268</v>
      </c>
      <c r="B125" s="209" t="s">
        <v>129</v>
      </c>
      <c r="C125" s="210" t="n">
        <f aca="false">1/6</f>
        <v>0.166666666666667</v>
      </c>
      <c r="D125" s="211" t="n">
        <f aca="false">1/6</f>
        <v>0.166666666666667</v>
      </c>
      <c r="E125" s="177" t="n">
        <v>9.45</v>
      </c>
      <c r="F125" s="138" t="n">
        <v>7.51</v>
      </c>
      <c r="G125" s="212" t="n">
        <f aca="false">(E125+F125)/2</f>
        <v>8.48</v>
      </c>
      <c r="H125" s="213" t="n">
        <f aca="false">C125*G125</f>
        <v>1.41333333333333</v>
      </c>
      <c r="I125" s="208" t="n">
        <f aca="false">D125*G125</f>
        <v>1.41333333333333</v>
      </c>
    </row>
    <row r="126" customFormat="false" ht="15" hidden="false" customHeight="true" outlineLevel="0" collapsed="false">
      <c r="A126" s="160" t="s">
        <v>269</v>
      </c>
      <c r="B126" s="209" t="s">
        <v>149</v>
      </c>
      <c r="C126" s="142" t="n">
        <f aca="false">2*22</f>
        <v>44</v>
      </c>
      <c r="D126" s="137" t="n">
        <f aca="false">3*22</f>
        <v>66</v>
      </c>
      <c r="E126" s="177" t="n">
        <v>0.61</v>
      </c>
      <c r="F126" s="138" t="n">
        <v>0.54</v>
      </c>
      <c r="G126" s="212" t="n">
        <f aca="false">(E126+F126)/2</f>
        <v>0.575</v>
      </c>
      <c r="H126" s="213" t="n">
        <f aca="false">C126*G126</f>
        <v>25.3</v>
      </c>
      <c r="I126" s="208" t="n">
        <f aca="false">D126*G126</f>
        <v>37.95</v>
      </c>
    </row>
    <row r="127" customFormat="false" ht="15" hidden="false" customHeight="true" outlineLevel="0" collapsed="false">
      <c r="A127" s="160" t="s">
        <v>270</v>
      </c>
      <c r="B127" s="209" t="s">
        <v>129</v>
      </c>
      <c r="C127" s="148" t="n">
        <f aca="false">2*22</f>
        <v>44</v>
      </c>
      <c r="D127" s="214" t="n">
        <f aca="false">3*22</f>
        <v>66</v>
      </c>
      <c r="E127" s="190" t="n">
        <v>0.23</v>
      </c>
      <c r="F127" s="138" t="n">
        <v>0.41</v>
      </c>
      <c r="G127" s="212" t="n">
        <f aca="false">(E127+F127)/2</f>
        <v>0.32</v>
      </c>
      <c r="H127" s="213" t="n">
        <f aca="false">C127*G127</f>
        <v>14.08</v>
      </c>
      <c r="I127" s="208" t="n">
        <f aca="false">D127*G127</f>
        <v>21.12</v>
      </c>
    </row>
    <row r="128" customFormat="false" ht="15" hidden="false" customHeight="true" outlineLevel="0" collapsed="false">
      <c r="A128" s="161" t="s">
        <v>271</v>
      </c>
      <c r="B128" s="215" t="s">
        <v>129</v>
      </c>
      <c r="C128" s="148" t="n">
        <f aca="false">22</f>
        <v>22</v>
      </c>
      <c r="D128" s="148" t="n">
        <f aca="false">22</f>
        <v>22</v>
      </c>
      <c r="E128" s="216" t="n">
        <v>0.13</v>
      </c>
      <c r="F128" s="149" t="n">
        <v>0.13</v>
      </c>
      <c r="G128" s="217" t="n">
        <f aca="false">(E128+F128)/2</f>
        <v>0.13</v>
      </c>
      <c r="H128" s="218" t="n">
        <f aca="false">C128*G128</f>
        <v>2.86</v>
      </c>
      <c r="I128" s="208" t="n">
        <f aca="false">D128*G128</f>
        <v>2.86</v>
      </c>
    </row>
    <row r="129" s="174" customFormat="true" ht="56.25" hidden="false" customHeight="true" outlineLevel="0" collapsed="false">
      <c r="A129" s="219" t="s">
        <v>95</v>
      </c>
      <c r="B129" s="220" t="s">
        <v>96</v>
      </c>
      <c r="C129" s="220" t="s">
        <v>272</v>
      </c>
      <c r="D129" s="220" t="s">
        <v>273</v>
      </c>
      <c r="E129" s="220" t="s">
        <v>274</v>
      </c>
      <c r="F129" s="221" t="s">
        <v>263</v>
      </c>
      <c r="G129" s="221" t="s">
        <v>244</v>
      </c>
      <c r="H129" s="222" t="s">
        <v>264</v>
      </c>
      <c r="I129" s="222" t="s">
        <v>265</v>
      </c>
    </row>
    <row r="130" customFormat="false" ht="20.25" hidden="false" customHeight="true" outlineLevel="0" collapsed="false">
      <c r="A130" s="223" t="s">
        <v>275</v>
      </c>
      <c r="B130" s="223"/>
      <c r="C130" s="223"/>
      <c r="D130" s="223"/>
      <c r="E130" s="223"/>
      <c r="F130" s="223"/>
      <c r="G130" s="223"/>
      <c r="H130" s="224" t="n">
        <f aca="false">SUM(H131:H134)</f>
        <v>25.4466666666667</v>
      </c>
      <c r="I130" s="224" t="n">
        <f aca="false">SUM(I131:I134)</f>
        <v>36.6666666666667</v>
      </c>
    </row>
    <row r="131" customFormat="false" ht="15" hidden="false" customHeight="true" outlineLevel="0" collapsed="false">
      <c r="A131" s="160" t="s">
        <v>276</v>
      </c>
      <c r="B131" s="137" t="s">
        <v>129</v>
      </c>
      <c r="C131" s="211" t="n">
        <v>1</v>
      </c>
      <c r="D131" s="211" t="n">
        <v>1</v>
      </c>
      <c r="E131" s="177" t="n">
        <v>11.69</v>
      </c>
      <c r="F131" s="138" t="n">
        <v>10</v>
      </c>
      <c r="G131" s="115" t="n">
        <f aca="false">(E131+F131)/2</f>
        <v>10.845</v>
      </c>
      <c r="H131" s="207" t="n">
        <f aca="false">(C131*G131)/12</f>
        <v>0.90375</v>
      </c>
      <c r="I131" s="207" t="n">
        <f aca="false">(D131*G131)/12</f>
        <v>0.90375</v>
      </c>
    </row>
    <row r="132" customFormat="false" ht="15" hidden="false" customHeight="true" outlineLevel="0" collapsed="false">
      <c r="A132" s="160" t="s">
        <v>277</v>
      </c>
      <c r="B132" s="142" t="s">
        <v>149</v>
      </c>
      <c r="C132" s="210" t="n">
        <v>2</v>
      </c>
      <c r="D132" s="210" t="n">
        <v>2</v>
      </c>
      <c r="E132" s="177" t="n">
        <v>10.07</v>
      </c>
      <c r="F132" s="138" t="n">
        <v>10.98</v>
      </c>
      <c r="G132" s="212" t="n">
        <f aca="false">(E132+F132)/2</f>
        <v>10.525</v>
      </c>
      <c r="H132" s="207" t="n">
        <f aca="false">(C132*G132)/12</f>
        <v>1.75416666666667</v>
      </c>
      <c r="I132" s="207" t="n">
        <f aca="false">(D132*G132)/12</f>
        <v>1.75416666666667</v>
      </c>
    </row>
    <row r="133" customFormat="false" ht="15" hidden="false" customHeight="true" outlineLevel="0" collapsed="false">
      <c r="A133" s="160" t="s">
        <v>270</v>
      </c>
      <c r="B133" s="142" t="s">
        <v>129</v>
      </c>
      <c r="C133" s="142" t="n">
        <f aca="false">2*22*12</f>
        <v>528</v>
      </c>
      <c r="D133" s="142" t="n">
        <f aca="false">3*22*12</f>
        <v>792</v>
      </c>
      <c r="E133" s="177" t="n">
        <v>0.61</v>
      </c>
      <c r="F133" s="138" t="n">
        <v>0.41</v>
      </c>
      <c r="G133" s="212" t="n">
        <f aca="false">(E133+F133)/2</f>
        <v>0.51</v>
      </c>
      <c r="H133" s="207" t="n">
        <f aca="false">(C133*G133)/12</f>
        <v>22.44</v>
      </c>
      <c r="I133" s="207" t="n">
        <f aca="false">(D133*G133)/12</f>
        <v>33.66</v>
      </c>
    </row>
    <row r="134" customFormat="false" ht="15" hidden="false" customHeight="true" outlineLevel="0" collapsed="false">
      <c r="A134" s="160" t="s">
        <v>278</v>
      </c>
      <c r="B134" s="142" t="s">
        <v>129</v>
      </c>
      <c r="C134" s="210" t="n">
        <v>1</v>
      </c>
      <c r="D134" s="210" t="n">
        <v>1</v>
      </c>
      <c r="E134" s="177" t="n">
        <v>4.62</v>
      </c>
      <c r="F134" s="138" t="n">
        <v>3.75</v>
      </c>
      <c r="G134" s="212" t="n">
        <f aca="false">(E134+F134)/2</f>
        <v>4.185</v>
      </c>
      <c r="H134" s="207" t="n">
        <f aca="false">(C134*G134)/12</f>
        <v>0.34875</v>
      </c>
      <c r="I134" s="207" t="n">
        <f aca="false">(D134*G134)/12</f>
        <v>0.34875</v>
      </c>
    </row>
    <row r="135" customFormat="false" ht="14.25" hidden="false" customHeight="false" outlineLevel="0" collapsed="false">
      <c r="A135" s="153"/>
      <c r="B135" s="154"/>
      <c r="C135" s="154"/>
      <c r="D135" s="154"/>
      <c r="E135" s="154"/>
      <c r="F135" s="154"/>
      <c r="G135" s="154"/>
    </row>
    <row r="136" customFormat="false" ht="12.75" hidden="false" customHeight="true" outlineLevel="0" collapsed="false">
      <c r="A136" s="225" t="s">
        <v>279</v>
      </c>
      <c r="B136" s="225"/>
      <c r="C136" s="225"/>
      <c r="D136" s="225"/>
      <c r="E136" s="225"/>
      <c r="F136" s="225"/>
      <c r="G136" s="154"/>
    </row>
    <row r="137" customFormat="false" ht="12.75" hidden="false" customHeight="true" outlineLevel="0" collapsed="false">
      <c r="A137" s="226" t="s">
        <v>267</v>
      </c>
      <c r="B137" s="227" t="s">
        <v>280</v>
      </c>
      <c r="C137" s="227"/>
      <c r="D137" s="227"/>
      <c r="E137" s="227"/>
      <c r="F137" s="227"/>
      <c r="G137" s="154"/>
    </row>
    <row r="138" customFormat="false" ht="12.75" hidden="false" customHeight="true" outlineLevel="0" collapsed="false">
      <c r="A138" s="226" t="s">
        <v>268</v>
      </c>
      <c r="B138" s="227" t="s">
        <v>281</v>
      </c>
      <c r="C138" s="227"/>
      <c r="D138" s="227"/>
      <c r="E138" s="227"/>
      <c r="F138" s="227"/>
      <c r="G138" s="154"/>
    </row>
    <row r="139" customFormat="false" ht="12.75" hidden="false" customHeight="true" outlineLevel="0" collapsed="false">
      <c r="A139" s="226" t="s">
        <v>269</v>
      </c>
      <c r="B139" s="227" t="s">
        <v>282</v>
      </c>
      <c r="C139" s="227"/>
      <c r="D139" s="227"/>
      <c r="E139" s="227"/>
      <c r="F139" s="227"/>
      <c r="G139" s="154"/>
    </row>
    <row r="140" customFormat="false" ht="12.75" hidden="false" customHeight="true" outlineLevel="0" collapsed="false">
      <c r="A140" s="226" t="s">
        <v>270</v>
      </c>
      <c r="B140" s="227" t="s">
        <v>283</v>
      </c>
      <c r="C140" s="227"/>
      <c r="D140" s="227"/>
      <c r="E140" s="227"/>
      <c r="F140" s="227"/>
      <c r="G140" s="154"/>
    </row>
    <row r="141" customFormat="false" ht="12.75" hidden="false" customHeight="true" outlineLevel="0" collapsed="false">
      <c r="A141" s="226" t="s">
        <v>271</v>
      </c>
      <c r="B141" s="227" t="s">
        <v>280</v>
      </c>
      <c r="C141" s="227"/>
      <c r="D141" s="227"/>
      <c r="E141" s="227"/>
      <c r="F141" s="227"/>
      <c r="G141" s="154"/>
    </row>
    <row r="142" customFormat="false" ht="12.75" hidden="false" customHeight="true" outlineLevel="0" collapsed="false">
      <c r="A142" s="226" t="s">
        <v>284</v>
      </c>
      <c r="B142" s="227" t="s">
        <v>285</v>
      </c>
      <c r="C142" s="227"/>
      <c r="D142" s="227"/>
      <c r="E142" s="227"/>
      <c r="F142" s="227"/>
      <c r="G142" s="154"/>
    </row>
    <row r="143" customFormat="false" ht="12.75" hidden="false" customHeight="true" outlineLevel="0" collapsed="false">
      <c r="A143" s="226" t="s">
        <v>286</v>
      </c>
      <c r="B143" s="227" t="s">
        <v>287</v>
      </c>
      <c r="C143" s="227"/>
      <c r="D143" s="227"/>
      <c r="E143" s="227"/>
      <c r="F143" s="227"/>
      <c r="G143" s="154"/>
      <c r="H143" s="154"/>
    </row>
    <row r="144" customFormat="false" ht="12.75" hidden="false" customHeight="true" outlineLevel="0" collapsed="false">
      <c r="A144" s="226" t="s">
        <v>288</v>
      </c>
      <c r="B144" s="227" t="s">
        <v>289</v>
      </c>
      <c r="C144" s="227"/>
      <c r="D144" s="227"/>
      <c r="E144" s="227"/>
      <c r="F144" s="227"/>
      <c r="G144" s="154"/>
      <c r="H144" s="154"/>
    </row>
    <row r="145" customFormat="false" ht="14.25" hidden="false" customHeight="false" outlineLevel="0" collapsed="false">
      <c r="A145" s="153"/>
      <c r="B145" s="154"/>
      <c r="C145" s="154"/>
      <c r="D145" s="154"/>
      <c r="E145" s="154"/>
      <c r="F145" s="154"/>
      <c r="G145" s="154"/>
      <c r="H145" s="154"/>
    </row>
    <row r="146" customFormat="false" ht="20.25" hidden="false" customHeight="true" outlineLevel="0" collapsed="false">
      <c r="A146" s="228" t="s">
        <v>290</v>
      </c>
      <c r="B146" s="228"/>
      <c r="C146" s="228"/>
      <c r="D146" s="228"/>
      <c r="E146" s="228"/>
      <c r="F146" s="228"/>
      <c r="G146" s="228"/>
      <c r="H146" s="229" t="n">
        <f aca="false">SUM(H147:H147)</f>
        <v>50.3233333333333</v>
      </c>
    </row>
    <row r="147" customFormat="false" ht="15" hidden="false" customHeight="true" outlineLevel="0" collapsed="false">
      <c r="A147" s="230" t="s">
        <v>291</v>
      </c>
      <c r="B147" s="231" t="s">
        <v>129</v>
      </c>
      <c r="C147" s="231" t="n">
        <v>1</v>
      </c>
      <c r="D147" s="232" t="n">
        <f aca="false">(54.99+39.99+55.99)/3</f>
        <v>50.3233333333333</v>
      </c>
      <c r="E147" s="232"/>
      <c r="F147" s="232"/>
      <c r="G147" s="232"/>
      <c r="H147" s="233" t="n">
        <f aca="false">D147</f>
        <v>50.3233333333333</v>
      </c>
    </row>
  </sheetData>
  <mergeCells count="30">
    <mergeCell ref="A1:H1"/>
    <mergeCell ref="A37:F37"/>
    <mergeCell ref="A38:H38"/>
    <mergeCell ref="A59:F59"/>
    <mergeCell ref="A60:F60"/>
    <mergeCell ref="A62:H62"/>
    <mergeCell ref="A70:F70"/>
    <mergeCell ref="A86:F86"/>
    <mergeCell ref="A98:F98"/>
    <mergeCell ref="A99:F99"/>
    <mergeCell ref="A100:F100"/>
    <mergeCell ref="A104:G104"/>
    <mergeCell ref="A106:F106"/>
    <mergeCell ref="A113:F113"/>
    <mergeCell ref="A118:F118"/>
    <mergeCell ref="A119:F119"/>
    <mergeCell ref="A121:I121"/>
    <mergeCell ref="A123:G123"/>
    <mergeCell ref="A130:G130"/>
    <mergeCell ref="A136:F136"/>
    <mergeCell ref="B137:F137"/>
    <mergeCell ref="B138:F138"/>
    <mergeCell ref="B139:F139"/>
    <mergeCell ref="B140:F140"/>
    <mergeCell ref="B141:F141"/>
    <mergeCell ref="B142:F142"/>
    <mergeCell ref="B143:F143"/>
    <mergeCell ref="B144:F144"/>
    <mergeCell ref="A146:G146"/>
    <mergeCell ref="D147:G14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806000"/>
    <pageSetUpPr fitToPage="false"/>
  </sheetPr>
  <dimension ref="A1:ALW3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0" topLeftCell="Q1" activePane="topRight" state="frozen"/>
      <selection pane="topLeft" activeCell="A1" activeCellId="0" sqref="A1"/>
      <selection pane="topRight" activeCell="U32" activeCellId="0" sqref="U32"/>
    </sheetView>
  </sheetViews>
  <sheetFormatPr defaultRowHeight="14.25" zeroHeight="false" outlineLevelRow="0" outlineLevelCol="0"/>
  <cols>
    <col collapsed="false" customWidth="true" hidden="false" outlineLevel="0" max="1" min="1" style="0" width="19.5"/>
    <col collapsed="false" customWidth="true" hidden="false" outlineLevel="0" max="2" min="2" style="0" width="29.38"/>
    <col collapsed="false" customWidth="true" hidden="false" outlineLevel="0" max="3" min="3" style="0" width="20.25"/>
    <col collapsed="false" customWidth="true" hidden="false" outlineLevel="0" max="4" min="4" style="0" width="8.62"/>
    <col collapsed="false" customWidth="true" hidden="false" outlineLevel="0" max="5" min="5" style="0" width="7.5"/>
    <col collapsed="false" customWidth="true" hidden="false" outlineLevel="0" max="6" min="6" style="0" width="8"/>
    <col collapsed="false" customWidth="true" hidden="false" outlineLevel="0" max="7" min="7" style="0" width="6.62"/>
    <col collapsed="false" customWidth="true" hidden="false" outlineLevel="0" max="8" min="8" style="0" width="8.5"/>
    <col collapsed="false" customWidth="true" hidden="false" outlineLevel="0" max="9" min="9" style="0" width="6.75"/>
    <col collapsed="false" customWidth="true" hidden="false" outlineLevel="0" max="10" min="10" style="0" width="6.62"/>
    <col collapsed="false" customWidth="true" hidden="false" outlineLevel="0" max="11" min="11" style="0" width="6.25"/>
    <col collapsed="false" customWidth="true" hidden="false" outlineLevel="0" max="12" min="12" style="0" width="7.38"/>
    <col collapsed="false" customWidth="true" hidden="false" outlineLevel="0" max="14" min="13" style="0" width="7"/>
    <col collapsed="false" customWidth="true" hidden="false" outlineLevel="0" max="15" min="15" style="0" width="8.25"/>
    <col collapsed="false" customWidth="true" hidden="false" outlineLevel="0" max="16" min="16" style="0" width="7.38"/>
    <col collapsed="false" customWidth="true" hidden="false" outlineLevel="0" max="17" min="17" style="0" width="5.25"/>
    <col collapsed="false" customWidth="true" hidden="false" outlineLevel="0" max="18" min="18" style="0" width="7.38"/>
    <col collapsed="false" customWidth="true" hidden="false" outlineLevel="0" max="19" min="19" style="0" width="8.62"/>
    <col collapsed="false" customWidth="true" hidden="false" outlineLevel="0" max="20" min="20" style="0" width="6.87"/>
    <col collapsed="false" customWidth="true" hidden="false" outlineLevel="0" max="21" min="21" style="0" width="7.5"/>
    <col collapsed="false" customWidth="true" hidden="false" outlineLevel="0" max="22" min="22" style="0" width="7.38"/>
    <col collapsed="false" customWidth="true" hidden="false" outlineLevel="0" max="23" min="23" style="0" width="7.5"/>
    <col collapsed="false" customWidth="true" hidden="false" outlineLevel="0" max="24" min="24" style="0" width="7.38"/>
    <col collapsed="false" customWidth="true" hidden="false" outlineLevel="0" max="25" min="25" style="0" width="8.88"/>
    <col collapsed="false" customWidth="true" hidden="false" outlineLevel="0" max="26" min="26" style="0" width="7.25"/>
    <col collapsed="false" customWidth="true" hidden="false" outlineLevel="0" max="27" min="27" style="0" width="12.38"/>
    <col collapsed="false" customWidth="false" hidden="false" outlineLevel="0" max="28" min="28" style="0" width="11.5"/>
    <col collapsed="false" customWidth="true" hidden="false" outlineLevel="0" max="1025" min="29" style="0" width="10.62"/>
  </cols>
  <sheetData>
    <row r="1" customFormat="false" ht="24" hidden="false" customHeight="false" outlineLevel="0" collapsed="false">
      <c r="A1" s="234" t="s">
        <v>292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</row>
    <row r="2" customFormat="false" ht="15" hidden="false" customHeight="true" outlineLevel="0" collapsed="false">
      <c r="A2" s="235"/>
      <c r="B2" s="235"/>
      <c r="C2" s="235"/>
      <c r="D2" s="236"/>
      <c r="E2" s="237" t="s">
        <v>293</v>
      </c>
      <c r="F2" s="237"/>
      <c r="G2" s="237"/>
      <c r="H2" s="237"/>
      <c r="I2" s="237"/>
      <c r="J2" s="237"/>
      <c r="K2" s="237"/>
      <c r="L2" s="237"/>
      <c r="M2" s="237"/>
      <c r="N2" s="237"/>
      <c r="O2" s="238" t="s">
        <v>294</v>
      </c>
      <c r="P2" s="238"/>
      <c r="Q2" s="238"/>
      <c r="R2" s="238"/>
      <c r="S2" s="238"/>
      <c r="T2" s="238"/>
      <c r="U2" s="239" t="s">
        <v>295</v>
      </c>
      <c r="V2" s="239"/>
      <c r="W2" s="239"/>
      <c r="X2" s="239"/>
      <c r="Y2" s="239"/>
      <c r="Z2" s="239"/>
      <c r="AA2" s="240" t="s">
        <v>296</v>
      </c>
      <c r="AB2" s="240" t="s">
        <v>297</v>
      </c>
    </row>
    <row r="3" customFormat="false" ht="59.25" hidden="false" customHeight="true" outlineLevel="0" collapsed="false">
      <c r="A3" s="241" t="s">
        <v>298</v>
      </c>
      <c r="B3" s="241"/>
      <c r="C3" s="241"/>
      <c r="D3" s="242" t="s">
        <v>299</v>
      </c>
      <c r="E3" s="243" t="s">
        <v>300</v>
      </c>
      <c r="F3" s="243"/>
      <c r="G3" s="244" t="s">
        <v>301</v>
      </c>
      <c r="H3" s="244"/>
      <c r="I3" s="245" t="s">
        <v>302</v>
      </c>
      <c r="J3" s="245"/>
      <c r="K3" s="245" t="s">
        <v>303</v>
      </c>
      <c r="L3" s="245"/>
      <c r="M3" s="245" t="s">
        <v>304</v>
      </c>
      <c r="N3" s="245"/>
      <c r="O3" s="246" t="s">
        <v>305</v>
      </c>
      <c r="P3" s="246"/>
      <c r="Q3" s="247" t="s">
        <v>306</v>
      </c>
      <c r="R3" s="247"/>
      <c r="S3" s="246" t="s">
        <v>307</v>
      </c>
      <c r="T3" s="246"/>
      <c r="U3" s="248" t="s">
        <v>308</v>
      </c>
      <c r="V3" s="248"/>
      <c r="W3" s="248" t="s">
        <v>309</v>
      </c>
      <c r="X3" s="248"/>
      <c r="Y3" s="249" t="s">
        <v>310</v>
      </c>
      <c r="Z3" s="249"/>
      <c r="AA3" s="250" t="s">
        <v>311</v>
      </c>
      <c r="AB3" s="251" t="s">
        <v>312</v>
      </c>
    </row>
    <row r="4" customFormat="false" ht="33.6" hidden="false" customHeight="true" outlineLevel="0" collapsed="false">
      <c r="A4" s="241"/>
      <c r="B4" s="241"/>
      <c r="C4" s="241"/>
      <c r="D4" s="242"/>
      <c r="E4" s="243"/>
      <c r="F4" s="243"/>
      <c r="G4" s="244"/>
      <c r="H4" s="244"/>
      <c r="I4" s="245"/>
      <c r="J4" s="245"/>
      <c r="K4" s="245"/>
      <c r="L4" s="245"/>
      <c r="M4" s="245"/>
      <c r="N4" s="245"/>
      <c r="O4" s="246"/>
      <c r="P4" s="246"/>
      <c r="Q4" s="247"/>
      <c r="R4" s="247"/>
      <c r="S4" s="246"/>
      <c r="T4" s="246"/>
      <c r="U4" s="248"/>
      <c r="V4" s="248"/>
      <c r="W4" s="248"/>
      <c r="X4" s="248"/>
      <c r="Y4" s="249"/>
      <c r="Z4" s="249"/>
      <c r="AA4" s="250"/>
      <c r="AB4" s="251"/>
    </row>
    <row r="5" customFormat="false" ht="31.7" hidden="false" customHeight="true" outlineLevel="0" collapsed="false">
      <c r="A5" s="241"/>
      <c r="B5" s="241"/>
      <c r="C5" s="241"/>
      <c r="D5" s="242"/>
      <c r="E5" s="252" t="s">
        <v>313</v>
      </c>
      <c r="F5" s="253" t="s">
        <v>314</v>
      </c>
      <c r="G5" s="243" t="s">
        <v>313</v>
      </c>
      <c r="H5" s="253" t="s">
        <v>314</v>
      </c>
      <c r="I5" s="243" t="s">
        <v>313</v>
      </c>
      <c r="J5" s="245" t="s">
        <v>314</v>
      </c>
      <c r="K5" s="243" t="s">
        <v>313</v>
      </c>
      <c r="L5" s="245" t="s">
        <v>314</v>
      </c>
      <c r="M5" s="243" t="s">
        <v>313</v>
      </c>
      <c r="N5" s="245" t="s">
        <v>314</v>
      </c>
      <c r="O5" s="246" t="s">
        <v>313</v>
      </c>
      <c r="P5" s="246" t="s">
        <v>314</v>
      </c>
      <c r="Q5" s="246" t="s">
        <v>313</v>
      </c>
      <c r="R5" s="246" t="s">
        <v>314</v>
      </c>
      <c r="S5" s="246" t="s">
        <v>313</v>
      </c>
      <c r="T5" s="246" t="s">
        <v>314</v>
      </c>
      <c r="U5" s="249" t="s">
        <v>313</v>
      </c>
      <c r="V5" s="249" t="s">
        <v>314</v>
      </c>
      <c r="W5" s="249" t="s">
        <v>313</v>
      </c>
      <c r="X5" s="249" t="s">
        <v>314</v>
      </c>
      <c r="Y5" s="249" t="s">
        <v>313</v>
      </c>
      <c r="Z5" s="254" t="s">
        <v>314</v>
      </c>
      <c r="AA5" s="255" t="s">
        <v>315</v>
      </c>
      <c r="AB5" s="256" t="s">
        <v>315</v>
      </c>
    </row>
    <row r="6" customFormat="false" ht="14.25" hidden="false" customHeight="false" outlineLevel="0" collapsed="false">
      <c r="A6" s="257" t="s">
        <v>77</v>
      </c>
      <c r="B6" s="258" t="s">
        <v>316</v>
      </c>
      <c r="C6" s="259"/>
      <c r="D6" s="260" t="n">
        <f aca="false">MC!D69</f>
        <v>0.02</v>
      </c>
      <c r="E6" s="261" t="n">
        <f aca="false">'Prod. GEXSTM'!D4</f>
        <v>88.9999999999999</v>
      </c>
      <c r="F6" s="262" t="n">
        <f aca="false">'GEXSTM Limp.Ord. '!D150</f>
        <v>5.80962467524446</v>
      </c>
      <c r="G6" s="263" t="n">
        <f aca="false">'Prod. GEXSTM'!E4</f>
        <v>538.16</v>
      </c>
      <c r="H6" s="262" t="n">
        <f aca="false">'GEXSTM Limp.Ord. '!D156</f>
        <v>6.46121556623272</v>
      </c>
      <c r="I6" s="264" t="n">
        <f aca="false">'Prod. GEXSTM'!F4</f>
        <v>803.03</v>
      </c>
      <c r="J6" s="265" t="n">
        <f aca="false">'GEXSTM Limp.Ord. '!D$162</f>
        <v>3.09846649346371</v>
      </c>
      <c r="K6" s="264" t="n">
        <f aca="false">'Prod. GEXSTM'!G4</f>
        <v>262.62</v>
      </c>
      <c r="L6" s="265" t="n">
        <f aca="false">'GEXSTM Limp.Ord. '!D$168</f>
        <v>4.64769974019557</v>
      </c>
      <c r="M6" s="264" t="n">
        <f aca="false">'Prod. GEXSTM'!H4</f>
        <v>65.46</v>
      </c>
      <c r="N6" s="265" t="n">
        <f aca="false">'GEXSTM Limp.Ord. '!D$174</f>
        <v>25.8448622649309</v>
      </c>
      <c r="O6" s="264" t="n">
        <f aca="false">'Prod. GEXSTM'!I4</f>
        <v>365.93</v>
      </c>
      <c r="P6" s="265" t="n">
        <f aca="false">'GEXSTM Limp.Ord. '!D180</f>
        <v>2.58205541121976</v>
      </c>
      <c r="Q6" s="264" t="n">
        <f aca="false">'Prod. GEXSTM'!J4</f>
        <v>0</v>
      </c>
      <c r="R6" s="265"/>
      <c r="S6" s="264" t="n">
        <f aca="false">'Prod. GEXSTM'!K4</f>
        <v>1669.27</v>
      </c>
      <c r="T6" s="265" t="n">
        <f aca="false">'GEXSTM Limp.Ord. '!D186</f>
        <v>0.774616623365928</v>
      </c>
      <c r="U6" s="266" t="n">
        <f aca="false">'Prod. GEXSTM'!L4</f>
        <v>0</v>
      </c>
      <c r="V6" s="265" t="n">
        <f aca="false">'GEXSTM Limp.Ord. '!D192</f>
        <v>0</v>
      </c>
      <c r="W6" s="264" t="n">
        <f aca="false">'Prod. GEXSTM'!M4</f>
        <v>232.42</v>
      </c>
      <c r="X6" s="265" t="n">
        <f aca="false">'GEXSTM Limp.Ord. '!D195</f>
        <v>1.03672717016218</v>
      </c>
      <c r="Y6" s="267" t="n">
        <f aca="false">'Prod. GEXSTM'!N4</f>
        <v>911.39</v>
      </c>
      <c r="Z6" s="265" t="n">
        <f aca="false">'GEXSTM Limp.Ord. '!D198</f>
        <v>1.03672717016218</v>
      </c>
      <c r="AA6" s="268" t="n">
        <f aca="false">(E6*F6)+(G6*H6)+(I6*J6)+(K6*L6)+(M6*N6)+(O6*P6)+(Q6*R6)+(S6*T6)+(U6*V6)+(W6*X6)+(Y6*Z6)</f>
        <v>12818.4842351162</v>
      </c>
      <c r="AB6" s="269"/>
      <c r="ALL6" s="270"/>
      <c r="ALM6" s="270"/>
      <c r="ALN6" s="270"/>
      <c r="ALO6" s="270"/>
      <c r="ALP6" s="270"/>
      <c r="ALQ6" s="270"/>
      <c r="ALR6" s="270"/>
      <c r="ALS6" s="270"/>
      <c r="ALT6" s="270"/>
      <c r="ALU6" s="270"/>
      <c r="ALV6" s="270"/>
      <c r="ALW6" s="270"/>
    </row>
    <row r="7" customFormat="false" ht="14.25" hidden="false" customHeight="false" outlineLevel="0" collapsed="false">
      <c r="A7" s="271" t="s">
        <v>78</v>
      </c>
      <c r="B7" s="271" t="s">
        <v>317</v>
      </c>
      <c r="C7" s="272"/>
      <c r="D7" s="273" t="n">
        <f aca="false">MC!D70</f>
        <v>0.02</v>
      </c>
      <c r="E7" s="274" t="n">
        <f aca="false">'Prod. GEXSTM'!D5</f>
        <v>0</v>
      </c>
      <c r="F7" s="275" t="n">
        <f aca="false">'GEXSTM Limp.Ord. '!D150</f>
        <v>5.80962467524446</v>
      </c>
      <c r="G7" s="276" t="n">
        <f aca="false">'Prod. GEXSTM'!E5</f>
        <v>600</v>
      </c>
      <c r="H7" s="275" t="n">
        <f aca="false">'GEXSTM Limp.Ord. '!D156</f>
        <v>6.46121556623272</v>
      </c>
      <c r="I7" s="277" t="n">
        <f aca="false">'Prod. GEXSTM'!F5</f>
        <v>0</v>
      </c>
      <c r="J7" s="278" t="n">
        <f aca="false">'GEXSTM Limp.Ord. '!D162</f>
        <v>3.09846649346371</v>
      </c>
      <c r="K7" s="277" t="n">
        <f aca="false">'Prod. GEXSTM'!G5</f>
        <v>0</v>
      </c>
      <c r="L7" s="265" t="n">
        <f aca="false">'GEXSTM Limp.Ord. '!D168</f>
        <v>4.64769974019557</v>
      </c>
      <c r="M7" s="277" t="n">
        <f aca="false">'Prod. GEXSTM'!H5</f>
        <v>0</v>
      </c>
      <c r="N7" s="278" t="n">
        <f aca="false">'GEXSTM Limp.Ord. '!D174</f>
        <v>25.8448622649309</v>
      </c>
      <c r="O7" s="277" t="n">
        <f aca="false">'Prod. GEXSTM'!I5</f>
        <v>0</v>
      </c>
      <c r="P7" s="278" t="n">
        <f aca="false">'GEXSTM Limp.Ord. '!D180</f>
        <v>2.58205541121976</v>
      </c>
      <c r="Q7" s="277" t="n">
        <f aca="false">'Prod. GEXSTM'!J5</f>
        <v>0</v>
      </c>
      <c r="R7" s="278"/>
      <c r="S7" s="277" t="n">
        <f aca="false">'Prod. GEXSTM'!K5</f>
        <v>0</v>
      </c>
      <c r="T7" s="278"/>
      <c r="U7" s="279" t="n">
        <f aca="false">'Prod. GEXSTM'!L5</f>
        <v>0</v>
      </c>
      <c r="V7" s="278"/>
      <c r="W7" s="277" t="n">
        <f aca="false">'Prod. GEXSTM'!M5</f>
        <v>0</v>
      </c>
      <c r="X7" s="278"/>
      <c r="Y7" s="280" t="n">
        <f aca="false">'Prod. GEXSTM'!N5</f>
        <v>0</v>
      </c>
      <c r="Z7" s="278"/>
      <c r="AA7" s="268" t="n">
        <f aca="false">(E7*F7)+(G7*H7)+(I7*J7)+(K7*L7)+(M7*N7)+(O7*P7)+(Q7*R7)+(S7*T7)+(U7*V7)+(W7*X7)+(Y7*Z7)</f>
        <v>3876.72933973963</v>
      </c>
      <c r="AB7" s="269"/>
      <c r="ALL7" s="270"/>
      <c r="ALM7" s="270"/>
      <c r="ALN7" s="270"/>
      <c r="ALO7" s="270"/>
      <c r="ALP7" s="270"/>
      <c r="ALQ7" s="270"/>
      <c r="ALR7" s="270"/>
      <c r="ALS7" s="270"/>
      <c r="ALT7" s="270"/>
      <c r="ALU7" s="270"/>
      <c r="ALV7" s="270"/>
      <c r="ALW7" s="270"/>
    </row>
    <row r="8" customFormat="false" ht="14.25" hidden="false" customHeight="false" outlineLevel="0" collapsed="false">
      <c r="A8" s="271" t="s">
        <v>79</v>
      </c>
      <c r="B8" s="271" t="s">
        <v>318</v>
      </c>
      <c r="C8" s="272"/>
      <c r="D8" s="273" t="n">
        <f aca="false">MC!D71</f>
        <v>0.025</v>
      </c>
      <c r="E8" s="274" t="n">
        <f aca="false">'Prod. GEXSTM'!D6</f>
        <v>-49.6800000000001</v>
      </c>
      <c r="F8" s="275" t="n">
        <f aca="false">'GEXSTM Limp.Ord. '!F150</f>
        <v>5.84114510407993</v>
      </c>
      <c r="G8" s="276" t="n">
        <f aca="false">'Prod. GEXSTM'!E6</f>
        <v>574.88</v>
      </c>
      <c r="H8" s="275" t="n">
        <f aca="false">'GEXSTM Limp.Ord. '!F156</f>
        <v>6.4964277281616</v>
      </c>
      <c r="I8" s="277" t="n">
        <f aca="false">'Prod. GEXSTM'!F6</f>
        <v>602.03</v>
      </c>
      <c r="J8" s="278" t="n">
        <f aca="false">'GEXSTM Limp.Ord. '!F162</f>
        <v>3.11527738884263</v>
      </c>
      <c r="K8" s="277" t="n">
        <f aca="false">'Prod. GEXSTM'!G6</f>
        <v>0</v>
      </c>
      <c r="L8" s="265" t="n">
        <f aca="false">'GEXSTM Limp.Ord. '!F168</f>
        <v>4.67291608326395</v>
      </c>
      <c r="M8" s="277" t="n">
        <f aca="false">'Prod. GEXSTM'!H6</f>
        <v>56.28</v>
      </c>
      <c r="N8" s="278" t="n">
        <f aca="false">'GEXSTM Limp.Ord. '!F174</f>
        <v>25.9857109126464</v>
      </c>
      <c r="O8" s="277" t="n">
        <f aca="false">'Prod. GEXSTM'!I6</f>
        <v>541.2</v>
      </c>
      <c r="P8" s="278" t="n">
        <f aca="false">'GEXSTM Limp.Ord. '!F180</f>
        <v>2.59606449070219</v>
      </c>
      <c r="Q8" s="277" t="n">
        <f aca="false">'Prod. GEXSTM'!J6</f>
        <v>0</v>
      </c>
      <c r="R8" s="278"/>
      <c r="S8" s="277" t="n">
        <f aca="false">'Prod. GEXSTM'!K6</f>
        <v>1233.19</v>
      </c>
      <c r="T8" s="278" t="n">
        <f aca="false">'GEXSTM Limp.Ord. '!F186</f>
        <v>0.778819347210658</v>
      </c>
      <c r="U8" s="279" t="n">
        <f aca="false">'Prod. GEXSTM'!L6</f>
        <v>0</v>
      </c>
      <c r="V8" s="278" t="n">
        <f aca="false">'GEXSTM Limp.Ord. '!F192</f>
        <v>0</v>
      </c>
      <c r="W8" s="277" t="n">
        <f aca="false">'Prod. GEXSTM'!M6</f>
        <v>69.12</v>
      </c>
      <c r="X8" s="278" t="n">
        <f aca="false">'GEXSTM Limp.Ord. '!F195</f>
        <v>1.04235198877192</v>
      </c>
      <c r="Y8" s="280" t="n">
        <f aca="false">'Prod. GEXSTM'!N6</f>
        <v>386.66</v>
      </c>
      <c r="Z8" s="278" t="n">
        <f aca="false">'GEXSTM Limp.Ord. '!F198</f>
        <v>1.04235198877192</v>
      </c>
      <c r="AA8" s="268" t="n">
        <f aca="false">(E8*F8)+(G8*H8)+(I8*J8)+(K8*L8)+(M8*N8)+(O8*P8)+(Q8*R8)+(S8*T8)+(U8*V8)+(W8*X8)+(Y8*Z8)</f>
        <v>9622.95006276072</v>
      </c>
      <c r="AB8" s="269" t="n">
        <f aca="false">'Prod. GEXSTM'!U6*'GEXSTM Covid '!D135</f>
        <v>3281.63627156903</v>
      </c>
      <c r="ALL8" s="270"/>
      <c r="ALM8" s="270"/>
      <c r="ALN8" s="270"/>
      <c r="ALO8" s="270"/>
      <c r="ALP8" s="270"/>
      <c r="ALQ8" s="270"/>
      <c r="ALR8" s="270"/>
      <c r="ALS8" s="270"/>
      <c r="ALT8" s="270"/>
      <c r="ALU8" s="270"/>
      <c r="ALV8" s="270"/>
      <c r="ALW8" s="270"/>
    </row>
    <row r="9" customFormat="false" ht="14.25" hidden="false" customHeight="false" outlineLevel="0" collapsed="false">
      <c r="A9" s="271" t="s">
        <v>80</v>
      </c>
      <c r="B9" s="271" t="s">
        <v>319</v>
      </c>
      <c r="C9" s="272"/>
      <c r="D9" s="273" t="n">
        <f aca="false">MC!D72</f>
        <v>0.03</v>
      </c>
      <c r="E9" s="274" t="n">
        <f aca="false">'Prod. GEXSTM'!D7</f>
        <v>0</v>
      </c>
      <c r="F9" s="275" t="n">
        <f aca="false">'GEXSTM Limp.Ord. '!H150</f>
        <v>5.87302474008162</v>
      </c>
      <c r="G9" s="276" t="n">
        <f aca="false">'Prod. GEXSTM'!E7</f>
        <v>600</v>
      </c>
      <c r="H9" s="275" t="n">
        <f aca="false">'GEXSTM Limp.Ord. '!H156</f>
        <v>6.53204116828911</v>
      </c>
      <c r="I9" s="277" t="n">
        <f aca="false">'Prod. GEXSTM'!F7</f>
        <v>0</v>
      </c>
      <c r="J9" s="278" t="n">
        <f aca="false">'GEXSTM Limp.Ord. '!H$162</f>
        <v>3.13227986137686</v>
      </c>
      <c r="K9" s="277" t="n">
        <f aca="false">'Prod. GEXSTM'!G7</f>
        <v>0</v>
      </c>
      <c r="L9" s="265" t="n">
        <f aca="false">'GEXSTM Limp.Ord. '!H$168</f>
        <v>4.6984197920653</v>
      </c>
      <c r="M9" s="277" t="n">
        <f aca="false">'Prod. GEXSTM'!H7</f>
        <v>0</v>
      </c>
      <c r="N9" s="278" t="n">
        <f aca="false">'GEXSTM Limp.Ord. '!H$174</f>
        <v>26.1281646731564</v>
      </c>
      <c r="O9" s="277" t="n">
        <f aca="false">'Prod. GEXSTM'!I7</f>
        <v>0</v>
      </c>
      <c r="P9" s="278" t="n">
        <f aca="false">'GEXSTM Limp.Ord. '!H180</f>
        <v>2.61023321781405</v>
      </c>
      <c r="Q9" s="277" t="n">
        <f aca="false">'Prod. GEXSTM'!J7</f>
        <v>0</v>
      </c>
      <c r="R9" s="278"/>
      <c r="S9" s="277" t="n">
        <f aca="false">'Prod. GEXSTM'!K7</f>
        <v>0</v>
      </c>
      <c r="T9" s="278"/>
      <c r="U9" s="279" t="n">
        <f aca="false">'Prod. GEXSTM'!L7</f>
        <v>0</v>
      </c>
      <c r="V9" s="278"/>
      <c r="W9" s="277" t="n">
        <f aca="false">'Prod. GEXSTM'!M7</f>
        <v>0</v>
      </c>
      <c r="X9" s="278"/>
      <c r="Y9" s="280" t="n">
        <f aca="false">'Prod. GEXSTM'!N7</f>
        <v>0</v>
      </c>
      <c r="Z9" s="278"/>
      <c r="AA9" s="268" t="n">
        <f aca="false">(E9*F9)+(G9*H9)+(I9*J9)+(K9*L9)+(M9*N9)+(O9*P9)+(Q9*R9)+(S9*T9)+(U9*V9)+(W9*X9)+(Y9*Z9)</f>
        <v>3919.22470097347</v>
      </c>
      <c r="AB9" s="269"/>
      <c r="ALL9" s="270"/>
      <c r="ALM9" s="270"/>
      <c r="ALN9" s="270"/>
      <c r="ALO9" s="270"/>
      <c r="ALP9" s="270"/>
      <c r="ALQ9" s="270"/>
      <c r="ALR9" s="270"/>
      <c r="ALS9" s="270"/>
      <c r="ALT9" s="270"/>
      <c r="ALU9" s="270"/>
      <c r="ALV9" s="270"/>
      <c r="ALW9" s="270"/>
    </row>
    <row r="10" customFormat="false" ht="14.25" hidden="false" customHeight="false" outlineLevel="0" collapsed="false">
      <c r="A10" s="271" t="s">
        <v>81</v>
      </c>
      <c r="B10" s="271" t="s">
        <v>320</v>
      </c>
      <c r="C10" s="272"/>
      <c r="D10" s="273" t="n">
        <f aca="false">MC!D73</f>
        <v>0.03</v>
      </c>
      <c r="E10" s="274" t="n">
        <f aca="false">'Prod. GEXSTM'!D8</f>
        <v>7.21000000000015</v>
      </c>
      <c r="F10" s="275" t="n">
        <f aca="false">'GEXSTM Limp.Ord. '!H150</f>
        <v>5.87302474008162</v>
      </c>
      <c r="G10" s="276" t="n">
        <f aca="false">'Prod. GEXSTM'!E8</f>
        <v>473.52</v>
      </c>
      <c r="H10" s="275" t="n">
        <f aca="false">'GEXSTM Limp.Ord. '!H156</f>
        <v>6.53204116828911</v>
      </c>
      <c r="I10" s="277" t="n">
        <f aca="false">'Prod. GEXSTM'!F8</f>
        <v>527.64</v>
      </c>
      <c r="J10" s="278" t="n">
        <f aca="false">'GEXSTM Limp.Ord. '!H162</f>
        <v>3.13227986137686</v>
      </c>
      <c r="K10" s="277" t="n">
        <f aca="false">'Prod. GEXSTM'!G8</f>
        <v>0</v>
      </c>
      <c r="L10" s="265" t="n">
        <f aca="false">'GEXSTM Limp.Ord. '!H168</f>
        <v>4.6984197920653</v>
      </c>
      <c r="M10" s="277" t="n">
        <f aca="false">'Prod. GEXSTM'!H8</f>
        <v>81.62</v>
      </c>
      <c r="N10" s="278" t="n">
        <f aca="false">'GEXSTM Limp.Ord. '!D$174</f>
        <v>25.8448622649309</v>
      </c>
      <c r="O10" s="277" t="n">
        <f aca="false">'Prod. GEXSTM'!I8</f>
        <v>55</v>
      </c>
      <c r="P10" s="278" t="n">
        <f aca="false">'GEXSTM Limp.Ord. '!H180</f>
        <v>2.61023321781405</v>
      </c>
      <c r="Q10" s="277" t="n">
        <f aca="false">'Prod. GEXSTM'!J8</f>
        <v>0</v>
      </c>
      <c r="R10" s="278"/>
      <c r="S10" s="277" t="n">
        <f aca="false">'Prod. GEXSTM'!K8</f>
        <v>1082.78</v>
      </c>
      <c r="T10" s="278" t="n">
        <f aca="false">'GEXSTM Limp.Ord. '!H186</f>
        <v>0.783069965344216</v>
      </c>
      <c r="U10" s="279" t="n">
        <f aca="false">'Prod. GEXSTM'!L8</f>
        <v>0</v>
      </c>
      <c r="V10" s="278" t="n">
        <f aca="false">'GEXSTM Limp.Ord. '!H192</f>
        <v>0</v>
      </c>
      <c r="W10" s="277" t="n">
        <f aca="false">'Prod. GEXSTM'!M8</f>
        <v>100.2</v>
      </c>
      <c r="X10" s="278" t="n">
        <f aca="false">'GEXSTM Limp.Ord. '!H195</f>
        <v>1.04804090787863</v>
      </c>
      <c r="Y10" s="280" t="n">
        <f aca="false">'Prod. GEXSTM'!N8</f>
        <v>295.86</v>
      </c>
      <c r="Z10" s="278" t="n">
        <f aca="false">'GEXSTM Limp.Ord. '!H198</f>
        <v>1.04804090787863</v>
      </c>
      <c r="AA10" s="268" t="n">
        <f aca="false">(E10*F10)+(G10*H10)+(I10*J10)+(K10*L10)+(M10*N10)+(O10*P10)+(Q10*R10)+(S10*T10)+(U10*V10)+(W10*X10)+(Y10*Z10)</f>
        <v>8304.11285253439</v>
      </c>
      <c r="AB10" s="269" t="n">
        <f aca="false">'Prod. GEXSTM'!U8*'GEXSTM Covid '!D136</f>
        <v>3300.33505374321</v>
      </c>
      <c r="ALL10" s="270"/>
      <c r="ALM10" s="270"/>
      <c r="ALN10" s="270"/>
      <c r="ALO10" s="270"/>
      <c r="ALP10" s="270"/>
      <c r="ALQ10" s="270"/>
      <c r="ALR10" s="270"/>
      <c r="ALS10" s="270"/>
      <c r="ALT10" s="270"/>
      <c r="ALU10" s="270"/>
      <c r="ALV10" s="270"/>
      <c r="ALW10" s="270"/>
    </row>
    <row r="11" customFormat="false" ht="14.25" hidden="false" customHeight="false" outlineLevel="0" collapsed="false">
      <c r="A11" s="271" t="s">
        <v>82</v>
      </c>
      <c r="B11" s="281" t="s">
        <v>321</v>
      </c>
      <c r="C11" s="272"/>
      <c r="D11" s="273" t="n">
        <f aca="false">MC!D74</f>
        <v>0.02</v>
      </c>
      <c r="E11" s="274" t="n">
        <f aca="false">'Prod. GEXSTM'!D9</f>
        <v>334.16</v>
      </c>
      <c r="F11" s="275" t="n">
        <f aca="false">'GEXSTM Limp.Ord. '!D150</f>
        <v>5.80962467524446</v>
      </c>
      <c r="G11" s="276" t="n">
        <f aca="false">'Prod. GEXSTM'!E9</f>
        <v>362.16</v>
      </c>
      <c r="H11" s="275" t="n">
        <f aca="false">'GEXSTM Limp.Ord. '!D156</f>
        <v>6.46121556623272</v>
      </c>
      <c r="I11" s="277" t="n">
        <f aca="false">'Prod. GEXSTM'!F9</f>
        <v>879.73</v>
      </c>
      <c r="J11" s="278" t="n">
        <f aca="false">'GEXSTM Limp.Ord. '!D$162</f>
        <v>3.09846649346371</v>
      </c>
      <c r="K11" s="277" t="n">
        <f aca="false">'Prod. GEXSTM'!G9</f>
        <v>0</v>
      </c>
      <c r="L11" s="265" t="n">
        <f aca="false">'GEXSTM Limp.Ord. '!D$168</f>
        <v>4.64769974019557</v>
      </c>
      <c r="M11" s="277" t="n">
        <f aca="false">'Prod. GEXSTM'!H9</f>
        <v>109.46</v>
      </c>
      <c r="N11" s="278" t="n">
        <f aca="false">'GEXSTM Limp.Ord. '!D$174</f>
        <v>25.8448622649309</v>
      </c>
      <c r="O11" s="277" t="n">
        <f aca="false">'Prod. GEXSTM'!I9</f>
        <v>409</v>
      </c>
      <c r="P11" s="278" t="n">
        <f aca="false">'GEXSTM Limp.Ord. '!D$180</f>
        <v>2.58205541121976</v>
      </c>
      <c r="Q11" s="277" t="n">
        <f aca="false">'Prod. GEXSTM'!J9</f>
        <v>0</v>
      </c>
      <c r="R11" s="278"/>
      <c r="S11" s="277" t="n">
        <f aca="false">'Prod. GEXSTM'!K9</f>
        <v>1351.35</v>
      </c>
      <c r="T11" s="278" t="n">
        <f aca="false">'GEXSTM Limp.Ord. '!D186</f>
        <v>0.774616623365928</v>
      </c>
      <c r="U11" s="279" t="n">
        <f aca="false">'Prod. GEXSTM'!L9</f>
        <v>0</v>
      </c>
      <c r="V11" s="278" t="n">
        <f aca="false">'GEXSTM Limp.Ord. '!D$192</f>
        <v>0</v>
      </c>
      <c r="W11" s="277" t="n">
        <f aca="false">'Prod. GEXSTM'!M9</f>
        <v>200.94</v>
      </c>
      <c r="X11" s="278" t="n">
        <f aca="false">'GEXSTM Limp.Ord. '!D$195</f>
        <v>1.03672717016218</v>
      </c>
      <c r="Y11" s="280" t="n">
        <f aca="false">'Prod. GEXSTM'!N9</f>
        <v>398.63</v>
      </c>
      <c r="Z11" s="278" t="n">
        <f aca="false">'GEXSTM Limp.Ord. '!D$198</f>
        <v>1.03672717016218</v>
      </c>
      <c r="AA11" s="268" t="n">
        <f aca="false">(E11*F11)+(G11*H11)+(I11*J11)+(K11*L11)+(M11*N11)+(O11*P11)+(Q11*R11)+(S11*T11)+(U11*V11)+(W11*X11)+(Y11*Z11)</f>
        <v>12560.5599093493</v>
      </c>
      <c r="AB11" s="269" t="n">
        <f aca="false">('Prod. GEXSTM'!T9*'GEXSTM Covid '!C134)+('Prod. GEXSTM'!U9*'GEXSTM Covid '!D134)</f>
        <v>7553.28705458158</v>
      </c>
      <c r="ALL11" s="270"/>
      <c r="ALM11" s="270"/>
      <c r="ALN11" s="270"/>
      <c r="ALO11" s="270"/>
      <c r="ALP11" s="270"/>
      <c r="ALQ11" s="270"/>
      <c r="ALR11" s="270"/>
      <c r="ALS11" s="270"/>
      <c r="ALT11" s="270"/>
      <c r="ALU11" s="270"/>
      <c r="ALV11" s="270"/>
      <c r="ALW11" s="270"/>
    </row>
    <row r="12" customFormat="false" ht="14.25" hidden="false" customHeight="false" outlineLevel="0" collapsed="false">
      <c r="A12" s="271" t="s">
        <v>83</v>
      </c>
      <c r="B12" s="271" t="s">
        <v>316</v>
      </c>
      <c r="C12" s="272"/>
      <c r="D12" s="273" t="n">
        <f aca="false">MC!D75</f>
        <v>0.02</v>
      </c>
      <c r="E12" s="274" t="n">
        <f aca="false">'Prod. GEXSTM'!D10</f>
        <v>96.54</v>
      </c>
      <c r="F12" s="275" t="n">
        <f aca="false">'GEXSTM Limp.Ord. '!D150</f>
        <v>5.80962467524446</v>
      </c>
      <c r="G12" s="276" t="n">
        <f aca="false">'Prod. GEXSTM'!E10</f>
        <v>684.48</v>
      </c>
      <c r="H12" s="275" t="n">
        <f aca="false">'GEXSTM Limp.Ord. '!D156</f>
        <v>6.46121556623272</v>
      </c>
      <c r="I12" s="277" t="n">
        <f aca="false">'Prod. GEXSTM'!D168</f>
        <v>0</v>
      </c>
      <c r="J12" s="278"/>
      <c r="K12" s="277" t="n">
        <f aca="false">'Prod. GEXSTM'!G10</f>
        <v>110.45</v>
      </c>
      <c r="L12" s="265" t="n">
        <f aca="false">'GEXSTM Limp.Ord. '!D168</f>
        <v>4.64769974019557</v>
      </c>
      <c r="M12" s="277" t="n">
        <f aca="false">'Prod. GEXSTM'!H10</f>
        <v>28.88</v>
      </c>
      <c r="N12" s="278" t="n">
        <f aca="false">'GEXSTM Limp.Ord. '!D$174</f>
        <v>25.8448622649309</v>
      </c>
      <c r="O12" s="277" t="n">
        <f aca="false">'Prod. GEXSTM'!I10</f>
        <v>0</v>
      </c>
      <c r="P12" s="278"/>
      <c r="Q12" s="277" t="n">
        <f aca="false">'Prod. GEXSTM'!J10</f>
        <v>0</v>
      </c>
      <c r="R12" s="278"/>
      <c r="S12" s="277" t="n">
        <f aca="false">'Prod. GEXSTM'!K10</f>
        <v>823.81</v>
      </c>
      <c r="T12" s="278" t="n">
        <f aca="false">'GEXSTM Limp.Ord. '!D186</f>
        <v>0.774616623365928</v>
      </c>
      <c r="U12" s="279" t="n">
        <f aca="false">'Prod. GEXSTM'!L10</f>
        <v>0</v>
      </c>
      <c r="V12" s="278" t="n">
        <f aca="false">'GEXSTM Limp.Ord. '!D$192</f>
        <v>0</v>
      </c>
      <c r="W12" s="277" t="n">
        <f aca="false">'Prod. GEXSTM'!M10</f>
        <v>0</v>
      </c>
      <c r="X12" s="278"/>
      <c r="Y12" s="280" t="n">
        <f aca="false">'Prod. GEXSTM'!N10</f>
        <v>404.75</v>
      </c>
      <c r="Z12" s="278" t="n">
        <f aca="false">'GEXSTM Limp.Ord. '!D$198</f>
        <v>1.03672717016218</v>
      </c>
      <c r="AA12" s="268" t="n">
        <f aca="false">(E12*F12)+(G12*H12)+(I12*J12)+(K12*L12)+(M12*N12)+(O12*P12)+(Q12*R12)+(S12*T12)+(U12*V12)+(W12*X12)+(Y12*Z12)</f>
        <v>7300.9242980571</v>
      </c>
      <c r="AB12" s="269" t="n">
        <f aca="false">('Prod. GEXSTM'!T10*'GEXSTM Covid '!C134)+('Prod. GEXSTM'!U10*'GEXSTM Covid '!D134)</f>
        <v>11843.4259292649</v>
      </c>
      <c r="ALL12" s="270"/>
      <c r="ALM12" s="270"/>
      <c r="ALN12" s="270"/>
      <c r="ALO12" s="270"/>
      <c r="ALP12" s="270"/>
      <c r="ALQ12" s="270"/>
      <c r="ALR12" s="270"/>
      <c r="ALS12" s="270"/>
      <c r="ALT12" s="270"/>
      <c r="ALU12" s="270"/>
      <c r="ALV12" s="270"/>
      <c r="ALW12" s="270"/>
    </row>
    <row r="13" customFormat="false" ht="14.25" hidden="false" customHeight="false" outlineLevel="0" collapsed="false">
      <c r="A13" s="271" t="s">
        <v>84</v>
      </c>
      <c r="B13" s="271" t="s">
        <v>322</v>
      </c>
      <c r="C13" s="272"/>
      <c r="D13" s="273" t="n">
        <f aca="false">MC!D76</f>
        <v>0.02</v>
      </c>
      <c r="E13" s="274" t="n">
        <f aca="false">'Prod. GEXSTM'!D11</f>
        <v>0</v>
      </c>
      <c r="F13" s="275" t="n">
        <f aca="false">'GEXSTM Limp.Ord. '!D150</f>
        <v>5.80962467524446</v>
      </c>
      <c r="G13" s="276" t="n">
        <f aca="false">'Prod. GEXSTM'!E11</f>
        <v>576.32</v>
      </c>
      <c r="H13" s="275" t="n">
        <f aca="false">'GEXSTM Limp.Ord. '!D156</f>
        <v>6.46121556623272</v>
      </c>
      <c r="I13" s="277" t="n">
        <f aca="false">'Prod. GEXSTM'!F11</f>
        <v>0</v>
      </c>
      <c r="J13" s="278"/>
      <c r="K13" s="277" t="n">
        <f aca="false">'Prod. GEXSTM'!G11</f>
        <v>0</v>
      </c>
      <c r="L13" s="265"/>
      <c r="M13" s="277" t="n">
        <f aca="false">'Prod. GEXSTM'!H11</f>
        <v>55.92</v>
      </c>
      <c r="N13" s="278" t="n">
        <f aca="false">'GEXSTM Limp.Ord. '!D$174</f>
        <v>25.8448622649309</v>
      </c>
      <c r="O13" s="277" t="n">
        <f aca="false">'Prod. GEXSTM'!I11</f>
        <v>413</v>
      </c>
      <c r="P13" s="278" t="n">
        <f aca="false">'GEXSTM Limp.Ord. '!D180</f>
        <v>2.58205541121976</v>
      </c>
      <c r="Q13" s="277" t="n">
        <f aca="false">'Prod. GEXSTM'!J11</f>
        <v>0</v>
      </c>
      <c r="R13" s="278"/>
      <c r="S13" s="277" t="n">
        <f aca="false">'Prod. GEXSTM'!K11</f>
        <v>632.24</v>
      </c>
      <c r="T13" s="278" t="n">
        <f aca="false">'GEXSTM Limp.Ord. '!D186</f>
        <v>0.774616623365928</v>
      </c>
      <c r="U13" s="279" t="n">
        <f aca="false">'Prod. GEXSTM'!L11</f>
        <v>0</v>
      </c>
      <c r="V13" s="278" t="n">
        <f aca="false">'GEXSTM Limp.Ord. '!D$192</f>
        <v>0</v>
      </c>
      <c r="W13" s="277" t="n">
        <f aca="false">'Prod. GEXSTM'!M11</f>
        <v>139.77</v>
      </c>
      <c r="X13" s="278" t="n">
        <f aca="false">'GEXSTM Limp.Ord. '!D195</f>
        <v>1.03672717016218</v>
      </c>
      <c r="Y13" s="280" t="n">
        <f aca="false">'Prod. GEXSTM'!N11</f>
        <v>238</v>
      </c>
      <c r="Z13" s="278" t="n">
        <f aca="false">'GEXSTM Limp.Ord. '!D$198</f>
        <v>1.03672717016218</v>
      </c>
      <c r="AA13" s="268" t="n">
        <f aca="false">(E13*F13)+(G13*H13)+(I13*J13)+(K13*L13)+(M13*N13)+(O13*P13)+(Q13*R13)+(S13*T13)+(U13*V13)+(W13*X13)+(Y13*Z13)</f>
        <v>7116.74937484898</v>
      </c>
      <c r="AB13" s="269" t="n">
        <f aca="false">'Prod. GEXSTM'!U11*'GEXSTM Covid '!D134</f>
        <v>3263.14817989822</v>
      </c>
      <c r="ALL13" s="270"/>
      <c r="ALM13" s="270"/>
      <c r="ALN13" s="270"/>
      <c r="ALO13" s="270"/>
      <c r="ALP13" s="270"/>
      <c r="ALQ13" s="270"/>
      <c r="ALR13" s="270"/>
      <c r="ALS13" s="270"/>
      <c r="ALT13" s="270"/>
      <c r="ALU13" s="270"/>
      <c r="ALV13" s="270"/>
      <c r="ALW13" s="270"/>
    </row>
    <row r="14" customFormat="false" ht="14.25" hidden="false" customHeight="false" outlineLevel="0" collapsed="false">
      <c r="A14" s="271" t="s">
        <v>85</v>
      </c>
      <c r="B14" s="271" t="s">
        <v>323</v>
      </c>
      <c r="C14" s="272"/>
      <c r="D14" s="273" t="n">
        <f aca="false">MC!D77</f>
        <v>0.02</v>
      </c>
      <c r="E14" s="274" t="n">
        <f aca="false">'Prod. GEXSTM'!D12</f>
        <v>0</v>
      </c>
      <c r="F14" s="275" t="n">
        <f aca="false">'GEXSTM Limp.Ord. '!D150</f>
        <v>5.80962467524446</v>
      </c>
      <c r="G14" s="276" t="n">
        <f aca="false">'Prod. GEXSTM'!E12</f>
        <v>800</v>
      </c>
      <c r="H14" s="275" t="n">
        <f aca="false">'GEXSTM Limp.Ord. '!D156</f>
        <v>6.46121556623272</v>
      </c>
      <c r="I14" s="277" t="n">
        <f aca="false">'Prod. GEXSTM'!F12</f>
        <v>0</v>
      </c>
      <c r="J14" s="278"/>
      <c r="K14" s="277" t="n">
        <f aca="false">'Prod. GEXSTM'!G12</f>
        <v>0</v>
      </c>
      <c r="L14" s="265"/>
      <c r="M14" s="277" t="n">
        <f aca="false">'Prod. GEXSTM'!H12</f>
        <v>0</v>
      </c>
      <c r="N14" s="278" t="n">
        <f aca="false">'GEXSTM Limp.Ord. '!D174</f>
        <v>25.8448622649309</v>
      </c>
      <c r="O14" s="277" t="n">
        <f aca="false">'Prod. GEXSTM'!I12</f>
        <v>0</v>
      </c>
      <c r="P14" s="278"/>
      <c r="Q14" s="277" t="n">
        <f aca="false">'Prod. GEXSTM'!J12</f>
        <v>0</v>
      </c>
      <c r="R14" s="278"/>
      <c r="S14" s="277" t="n">
        <f aca="false">'Prod. GEXSTM'!K12</f>
        <v>0</v>
      </c>
      <c r="T14" s="278"/>
      <c r="U14" s="279" t="n">
        <f aca="false">'Prod. GEXSTM'!L12</f>
        <v>0</v>
      </c>
      <c r="V14" s="278"/>
      <c r="W14" s="277" t="n">
        <f aca="false">'Prod. GEXSTM'!M12</f>
        <v>0</v>
      </c>
      <c r="X14" s="278"/>
      <c r="Y14" s="280" t="n">
        <f aca="false">'Prod. GEXSTM'!N12</f>
        <v>0</v>
      </c>
      <c r="Z14" s="278"/>
      <c r="AA14" s="268" t="n">
        <f aca="false">(E14*F14)+(G14*H14)+(I14*J14)+(K14*L14)+(M14*N14)+(O14*P14)+(Q14*R14)+(S14*T14)+(U14*V14)+(W14*X14)+(Y14*Z14)</f>
        <v>5168.97245298617</v>
      </c>
      <c r="AB14" s="269" t="n">
        <f aca="false">'Prod. GEXSTM'!U12*'GEXSTM Covid '!D134</f>
        <v>3263.14817989822</v>
      </c>
      <c r="ALL14" s="270"/>
      <c r="ALM14" s="270"/>
      <c r="ALN14" s="270"/>
      <c r="ALO14" s="270"/>
      <c r="ALP14" s="270"/>
      <c r="ALQ14" s="270"/>
      <c r="ALR14" s="270"/>
      <c r="ALS14" s="270"/>
      <c r="ALT14" s="270"/>
      <c r="ALU14" s="270"/>
      <c r="ALV14" s="270"/>
      <c r="ALW14" s="270"/>
    </row>
    <row r="15" customFormat="false" ht="14.25" hidden="false" customHeight="false" outlineLevel="0" collapsed="false">
      <c r="A15" s="271" t="s">
        <v>86</v>
      </c>
      <c r="B15" s="271" t="s">
        <v>324</v>
      </c>
      <c r="C15" s="272"/>
      <c r="D15" s="273" t="n">
        <f aca="false">MC!D78</f>
        <v>0.025</v>
      </c>
      <c r="E15" s="274" t="n">
        <f aca="false">'Prod. GEXSTM'!D13</f>
        <v>0</v>
      </c>
      <c r="F15" s="275" t="n">
        <f aca="false">'GEXSTM Limp.Ord. '!F150</f>
        <v>5.84114510407993</v>
      </c>
      <c r="G15" s="276" t="n">
        <f aca="false">'Prod. GEXSTM'!E13</f>
        <v>600</v>
      </c>
      <c r="H15" s="275" t="n">
        <f aca="false">'GEXSTM Limp.Ord. '!F156</f>
        <v>6.4964277281616</v>
      </c>
      <c r="I15" s="277" t="n">
        <f aca="false">'Prod. GEXSTM'!F13</f>
        <v>0</v>
      </c>
      <c r="J15" s="278"/>
      <c r="K15" s="277" t="n">
        <f aca="false">'Prod. GEXSTM'!G13</f>
        <v>0</v>
      </c>
      <c r="L15" s="265"/>
      <c r="M15" s="277" t="n">
        <f aca="false">'Prod. GEXSTM'!H13</f>
        <v>0</v>
      </c>
      <c r="N15" s="278" t="n">
        <f aca="false">'GEXSTM Limp.Ord. '!F174</f>
        <v>25.9857109126464</v>
      </c>
      <c r="O15" s="277" t="n">
        <f aca="false">'Prod. GEXSTM'!I13</f>
        <v>0</v>
      </c>
      <c r="P15" s="278"/>
      <c r="Q15" s="277" t="n">
        <f aca="false">'Prod. GEXSTM'!J13</f>
        <v>0</v>
      </c>
      <c r="R15" s="278"/>
      <c r="S15" s="277" t="n">
        <f aca="false">'Prod. GEXSTM'!K13</f>
        <v>0</v>
      </c>
      <c r="T15" s="278"/>
      <c r="U15" s="279" t="n">
        <f aca="false">'Prod. GEXSTM'!L13</f>
        <v>0</v>
      </c>
      <c r="V15" s="278"/>
      <c r="W15" s="277" t="n">
        <f aca="false">'Prod. GEXSTM'!M13</f>
        <v>0</v>
      </c>
      <c r="X15" s="278"/>
      <c r="Y15" s="280" t="n">
        <f aca="false">'Prod. GEXSTM'!N13</f>
        <v>0</v>
      </c>
      <c r="Z15" s="278"/>
      <c r="AA15" s="268" t="n">
        <f aca="false">(E15*F15)+(G15*H15)+(I15*J15)+(K15*L15)+(M15*N15)+(O15*P15)+(Q15*R15)+(S15*T15)+(U15*V15)+(W15*X15)+(Y15*Z15)</f>
        <v>3897.85663689696</v>
      </c>
      <c r="AB15" s="269"/>
      <c r="ALL15" s="270"/>
      <c r="ALM15" s="270"/>
      <c r="ALN15" s="270"/>
      <c r="ALO15" s="270"/>
      <c r="ALP15" s="270"/>
      <c r="ALQ15" s="270"/>
      <c r="ALR15" s="270"/>
      <c r="ALS15" s="270"/>
      <c r="ALT15" s="270"/>
      <c r="ALU15" s="270"/>
      <c r="ALV15" s="270"/>
      <c r="ALW15" s="270"/>
    </row>
    <row r="16" customFormat="false" ht="14.25" hidden="false" customHeight="false" outlineLevel="0" collapsed="false">
      <c r="A16" s="271" t="s">
        <v>87</v>
      </c>
      <c r="B16" s="271" t="s">
        <v>325</v>
      </c>
      <c r="C16" s="272"/>
      <c r="D16" s="273" t="n">
        <f aca="false">MC!D79</f>
        <v>0.025</v>
      </c>
      <c r="E16" s="274" t="n">
        <f aca="false">'Prod. GEXSTM'!D14</f>
        <v>0</v>
      </c>
      <c r="F16" s="275" t="n">
        <f aca="false">'GEXSTM Limp.Ord. '!F150</f>
        <v>5.84114510407993</v>
      </c>
      <c r="G16" s="276" t="n">
        <f aca="false">'Prod. GEXSTM'!E14</f>
        <v>696.28</v>
      </c>
      <c r="H16" s="275" t="n">
        <f aca="false">'GEXSTM Limp.Ord. '!F156</f>
        <v>6.4964277281616</v>
      </c>
      <c r="I16" s="277" t="n">
        <f aca="false">'Prod. GEXSTM'!F14</f>
        <v>0</v>
      </c>
      <c r="J16" s="278"/>
      <c r="K16" s="277" t="n">
        <f aca="false">'Prod. GEXSTM'!G14</f>
        <v>0</v>
      </c>
      <c r="L16" s="265"/>
      <c r="M16" s="277" t="n">
        <f aca="false">'Prod. GEXSTM'!H14</f>
        <v>25.93</v>
      </c>
      <c r="N16" s="278" t="n">
        <f aca="false">'GEXSTM Limp.Ord. '!F174</f>
        <v>25.9857109126464</v>
      </c>
      <c r="O16" s="277" t="n">
        <f aca="false">'Prod. GEXSTM'!I14</f>
        <v>0</v>
      </c>
      <c r="P16" s="278"/>
      <c r="Q16" s="277" t="n">
        <f aca="false">'Prod. GEXSTM'!J14</f>
        <v>0</v>
      </c>
      <c r="R16" s="278"/>
      <c r="S16" s="277" t="n">
        <f aca="false">'Prod. GEXSTM'!K14</f>
        <v>722.21</v>
      </c>
      <c r="T16" s="278" t="n">
        <f aca="false">'GEXSTM Limp.Ord. '!F186</f>
        <v>0.778819347210658</v>
      </c>
      <c r="U16" s="279" t="n">
        <f aca="false">'Prod. GEXSTM'!L14</f>
        <v>0</v>
      </c>
      <c r="V16" s="278" t="n">
        <f aca="false">'GEXSTM Limp.Ord. '!F192</f>
        <v>0</v>
      </c>
      <c r="W16" s="277" t="n">
        <f aca="false">'Prod. GEXSTM'!M14</f>
        <v>65.25</v>
      </c>
      <c r="X16" s="278" t="n">
        <f aca="false">'GEXSTM Limp.Ord. '!F195</f>
        <v>1.04235198877192</v>
      </c>
      <c r="Y16" s="280" t="n">
        <f aca="false">'Prod. GEXSTM'!N14</f>
        <v>104.68</v>
      </c>
      <c r="Z16" s="278" t="n">
        <f aca="false">'GEXSTM Limp.Ord. '!F198</f>
        <v>1.04235198877192</v>
      </c>
      <c r="AA16" s="268" t="n">
        <f aca="false">(E16*F16)+(G16*H16)+(I16*J16)+(K16*L16)+(M16*N16)+(O16*P16)+(Q16*R16)+(S16*T16)+(U16*V16)+(W16*X16)+(Y16*Z16)</f>
        <v>5936.7401767303</v>
      </c>
      <c r="AB16" s="269"/>
      <c r="ALL16" s="270"/>
      <c r="ALM16" s="270"/>
      <c r="ALN16" s="270"/>
      <c r="ALO16" s="270"/>
      <c r="ALP16" s="270"/>
      <c r="ALQ16" s="270"/>
      <c r="ALR16" s="270"/>
      <c r="ALS16" s="270"/>
      <c r="ALT16" s="270"/>
      <c r="ALU16" s="270"/>
      <c r="ALV16" s="270"/>
      <c r="ALW16" s="270"/>
    </row>
    <row r="17" customFormat="false" ht="14.25" hidden="false" customHeight="false" outlineLevel="0" collapsed="false">
      <c r="A17" s="271" t="s">
        <v>88</v>
      </c>
      <c r="B17" s="271" t="s">
        <v>326</v>
      </c>
      <c r="C17" s="272"/>
      <c r="D17" s="273" t="n">
        <f aca="false">MC!D80</f>
        <v>0.03</v>
      </c>
      <c r="E17" s="274" t="n">
        <f aca="false">'Prod. GEXSTM'!D15</f>
        <v>0</v>
      </c>
      <c r="F17" s="275" t="n">
        <f aca="false">'GEXSTM Limp.Ord. '!H150</f>
        <v>5.87302474008162</v>
      </c>
      <c r="G17" s="276" t="n">
        <f aca="false">'Prod. GEXSTM'!E15</f>
        <v>600</v>
      </c>
      <c r="H17" s="275" t="n">
        <f aca="false">'GEXSTM Limp.Ord. '!H156</f>
        <v>6.53204116828911</v>
      </c>
      <c r="I17" s="277" t="n">
        <f aca="false">'Prod. GEXSTM'!F15</f>
        <v>0</v>
      </c>
      <c r="J17" s="278"/>
      <c r="K17" s="277" t="n">
        <f aca="false">'Prod. GEXSTM'!G15</f>
        <v>0</v>
      </c>
      <c r="L17" s="265"/>
      <c r="M17" s="277" t="n">
        <f aca="false">'Prod. GEXSTM'!H15</f>
        <v>0</v>
      </c>
      <c r="N17" s="278" t="n">
        <f aca="false">'GEXSTM Limp.Ord. '!D$174</f>
        <v>25.8448622649309</v>
      </c>
      <c r="O17" s="277" t="n">
        <f aca="false">'Prod. GEXSTM'!I15</f>
        <v>0</v>
      </c>
      <c r="P17" s="278"/>
      <c r="Q17" s="277" t="n">
        <f aca="false">'Prod. GEXSTM'!J15</f>
        <v>0</v>
      </c>
      <c r="R17" s="278"/>
      <c r="S17" s="277" t="n">
        <f aca="false">'Prod. GEXSTM'!K15</f>
        <v>0</v>
      </c>
      <c r="T17" s="278"/>
      <c r="U17" s="279" t="n">
        <f aca="false">'Prod. GEXSTM'!L15</f>
        <v>0</v>
      </c>
      <c r="V17" s="278"/>
      <c r="W17" s="277" t="n">
        <f aca="false">'Prod. GEXSTM'!M15</f>
        <v>0</v>
      </c>
      <c r="X17" s="278"/>
      <c r="Y17" s="280" t="n">
        <f aca="false">'Prod. GEXSTM'!N15</f>
        <v>0</v>
      </c>
      <c r="Z17" s="278"/>
      <c r="AA17" s="268" t="n">
        <f aca="false">(E17*F17)+(G17*H17)+(I17*J17)+(K17*L17)+(M17*N17)+(O17*P17)+(Q17*R17)+(S17*T17)+(U17*V17)+(W17*X17)+(Y17*Z17)</f>
        <v>3919.22470097347</v>
      </c>
      <c r="AB17" s="269" t="n">
        <f aca="false">'Prod. GEXSTM'!U15*'GEXSTM Covid '!D136</f>
        <v>3300.33505374321</v>
      </c>
      <c r="ALL17" s="270"/>
      <c r="ALM17" s="270"/>
      <c r="ALN17" s="270"/>
      <c r="ALO17" s="270"/>
      <c r="ALP17" s="270"/>
      <c r="ALQ17" s="270"/>
      <c r="ALR17" s="270"/>
      <c r="ALS17" s="270"/>
      <c r="ALT17" s="270"/>
      <c r="ALU17" s="270"/>
      <c r="ALV17" s="270"/>
      <c r="ALW17" s="270"/>
    </row>
    <row r="18" customFormat="false" ht="14.25" hidden="false" customHeight="false" outlineLevel="0" collapsed="false">
      <c r="A18" s="271" t="s">
        <v>89</v>
      </c>
      <c r="B18" s="271" t="s">
        <v>327</v>
      </c>
      <c r="C18" s="272"/>
      <c r="D18" s="273" t="n">
        <f aca="false">MC!D81</f>
        <v>0.025</v>
      </c>
      <c r="E18" s="274" t="n">
        <f aca="false">'Prod. GEXSTM'!D16</f>
        <v>0</v>
      </c>
      <c r="F18" s="275" t="n">
        <f aca="false">'GEXSTM Limp.Ord. '!F150</f>
        <v>5.84114510407993</v>
      </c>
      <c r="G18" s="276" t="n">
        <f aca="false">'Prod. GEXSTM'!E16</f>
        <v>600</v>
      </c>
      <c r="H18" s="275" t="n">
        <f aca="false">'GEXSTM Limp.Ord. '!F156</f>
        <v>6.4964277281616</v>
      </c>
      <c r="I18" s="277" t="n">
        <f aca="false">'Prod. GEXSTM'!F16</f>
        <v>0</v>
      </c>
      <c r="J18" s="278"/>
      <c r="K18" s="277" t="n">
        <f aca="false">'Prod. GEXSTM'!G16</f>
        <v>0</v>
      </c>
      <c r="L18" s="265"/>
      <c r="M18" s="277" t="n">
        <f aca="false">'Prod. GEXSTM'!H16</f>
        <v>0</v>
      </c>
      <c r="N18" s="278" t="n">
        <f aca="false">'GEXSTM Limp.Ord. '!F174</f>
        <v>25.9857109126464</v>
      </c>
      <c r="O18" s="277" t="n">
        <f aca="false">'Prod. GEXSTM'!I16</f>
        <v>0</v>
      </c>
      <c r="P18" s="278"/>
      <c r="Q18" s="277" t="n">
        <f aca="false">'Prod. GEXSTM'!J16</f>
        <v>0</v>
      </c>
      <c r="R18" s="278"/>
      <c r="S18" s="277" t="n">
        <f aca="false">'Prod. GEXSTM'!K16</f>
        <v>0</v>
      </c>
      <c r="T18" s="278"/>
      <c r="U18" s="279" t="n">
        <f aca="false">'Prod. GEXSTM'!L16</f>
        <v>0</v>
      </c>
      <c r="V18" s="278"/>
      <c r="W18" s="277" t="n">
        <f aca="false">'Prod. GEXSTM'!M16</f>
        <v>0</v>
      </c>
      <c r="X18" s="278"/>
      <c r="Y18" s="280" t="n">
        <f aca="false">'Prod. GEXSTM'!N16</f>
        <v>0</v>
      </c>
      <c r="Z18" s="278"/>
      <c r="AA18" s="268" t="n">
        <f aca="false">(E18*F18)+(G18*H18)+(I18*J18)+(K18*L18)+(M18*N18)+(O18*P18)+(Q18*R18)+(S18*T18)+(U18*V18)+(W18*X18)+(Y18*Z18)</f>
        <v>3897.85663689696</v>
      </c>
      <c r="AB18" s="269"/>
      <c r="ALL18" s="270"/>
      <c r="ALM18" s="270"/>
      <c r="ALN18" s="270"/>
      <c r="ALO18" s="270"/>
      <c r="ALP18" s="270"/>
      <c r="ALQ18" s="270"/>
      <c r="ALR18" s="270"/>
      <c r="ALS18" s="270"/>
      <c r="ALT18" s="270"/>
      <c r="ALU18" s="270"/>
      <c r="ALV18" s="270"/>
      <c r="ALW18" s="270"/>
    </row>
    <row r="19" customFormat="false" ht="14.25" hidden="false" customHeight="false" outlineLevel="0" collapsed="false">
      <c r="A19" s="282" t="s">
        <v>90</v>
      </c>
      <c r="B19" s="282" t="s">
        <v>328</v>
      </c>
      <c r="C19" s="283"/>
      <c r="D19" s="284" t="n">
        <f aca="false">MC!D82</f>
        <v>0.035</v>
      </c>
      <c r="E19" s="274" t="n">
        <f aca="false">'Prod. GEXSTM'!D17</f>
        <v>0</v>
      </c>
      <c r="F19" s="275" t="n">
        <f aca="false">'GEXSTM Limp.Ord. '!J150</f>
        <v>5.90526975873089</v>
      </c>
      <c r="G19" s="276" t="n">
        <f aca="false">'Prod. GEXSTM'!E17</f>
        <v>600</v>
      </c>
      <c r="H19" s="275" t="n">
        <f aca="false">'GEXSTM Limp.Ord. '!J156</f>
        <v>6.56806278538083</v>
      </c>
      <c r="I19" s="277" t="n">
        <f aca="false">'Prod. GEXSTM'!F17</f>
        <v>0</v>
      </c>
      <c r="J19" s="278"/>
      <c r="K19" s="277" t="n">
        <f aca="false">'Prod. GEXSTM'!G17</f>
        <v>0</v>
      </c>
      <c r="L19" s="265"/>
      <c r="M19" s="277" t="n">
        <f aca="false">'Prod. GEXSTM'!H17</f>
        <v>0</v>
      </c>
      <c r="N19" s="278" t="n">
        <f aca="false">'GEXSTM Limp.Ord. '!J174</f>
        <v>26.2722511415233</v>
      </c>
      <c r="O19" s="277" t="n">
        <f aca="false">'Prod. GEXSTM'!I17</f>
        <v>0</v>
      </c>
      <c r="P19" s="278"/>
      <c r="Q19" s="277" t="n">
        <f aca="false">'Prod. GEXSTM'!J17</f>
        <v>0</v>
      </c>
      <c r="R19" s="278"/>
      <c r="S19" s="277" t="n">
        <f aca="false">'Prod. GEXSTM'!K17</f>
        <v>0</v>
      </c>
      <c r="T19" s="278"/>
      <c r="U19" s="279" t="n">
        <f aca="false">'Prod. GEXSTM'!L17</f>
        <v>0</v>
      </c>
      <c r="V19" s="278"/>
      <c r="W19" s="277" t="n">
        <f aca="false">'Prod. GEXSTM'!M17</f>
        <v>0</v>
      </c>
      <c r="X19" s="278"/>
      <c r="Y19" s="280" t="n">
        <f aca="false">'Prod. GEXSTM'!N17</f>
        <v>0</v>
      </c>
      <c r="Z19" s="278"/>
      <c r="AA19" s="268" t="n">
        <f aca="false">(E19*F19)+(G19*H19)+(I19*J19)+(K19*L19)+(M19*N19)+(O19*P19)+(Q19*R19)+(S19*T19)+(U19*V19)+(W19*X19)+(Y19*Z19)</f>
        <v>3940.8376712285</v>
      </c>
      <c r="AB19" s="269"/>
      <c r="ALL19" s="270"/>
      <c r="ALM19" s="270"/>
      <c r="ALN19" s="270"/>
      <c r="ALO19" s="270"/>
      <c r="ALP19" s="270"/>
      <c r="ALQ19" s="270"/>
      <c r="ALR19" s="270"/>
      <c r="ALS19" s="270"/>
      <c r="ALT19" s="270"/>
      <c r="ALU19" s="270"/>
      <c r="ALV19" s="270"/>
      <c r="ALW19" s="270"/>
    </row>
    <row r="20" customFormat="false" ht="14.25" hidden="false" customHeight="false" outlineLevel="0" collapsed="false">
      <c r="A20" s="285" t="s">
        <v>329</v>
      </c>
      <c r="B20" s="285"/>
      <c r="C20" s="285"/>
      <c r="D20" s="285"/>
      <c r="E20" s="286" t="n">
        <f aca="false">SUM(E6:E19)</f>
        <v>477.23</v>
      </c>
      <c r="F20" s="287"/>
      <c r="G20" s="288" t="n">
        <f aca="false">SUM(G6:G19)</f>
        <v>8305.8</v>
      </c>
      <c r="H20" s="287"/>
      <c r="I20" s="289" t="n">
        <f aca="false">SUM(I6:I19)</f>
        <v>2812.43</v>
      </c>
      <c r="J20" s="290"/>
      <c r="K20" s="289" t="n">
        <f aca="false">SUM(K6:K19)</f>
        <v>373.07</v>
      </c>
      <c r="L20" s="290"/>
      <c r="M20" s="289" t="n">
        <f aca="false">SUM(M6:M19)</f>
        <v>423.55</v>
      </c>
      <c r="N20" s="290"/>
      <c r="O20" s="289" t="n">
        <f aca="false">SUM(O6:O19)</f>
        <v>1784.13</v>
      </c>
      <c r="P20" s="291"/>
      <c r="Q20" s="289" t="n">
        <f aca="false">SUM(Q6:Q19)</f>
        <v>0</v>
      </c>
      <c r="R20" s="290"/>
      <c r="S20" s="289" t="n">
        <f aca="false">SUM(S6:S19)</f>
        <v>7514.85</v>
      </c>
      <c r="T20" s="290"/>
      <c r="U20" s="289" t="n">
        <f aca="false">SUM(U6:U19)</f>
        <v>0</v>
      </c>
      <c r="V20" s="290"/>
      <c r="W20" s="289" t="n">
        <f aca="false">SUM(W6:W19)</f>
        <v>807.7</v>
      </c>
      <c r="X20" s="290"/>
      <c r="Y20" s="292" t="n">
        <f aca="false">SUM(Y6:Y19)</f>
        <v>2739.97</v>
      </c>
      <c r="Z20" s="290"/>
      <c r="AA20" s="290" t="n">
        <f aca="false">SUM(AA6:AA19)</f>
        <v>92281.2230490921</v>
      </c>
      <c r="AB20" s="293" t="n">
        <f aca="false">SUM(AB6:AB19)</f>
        <v>35805.3157226984</v>
      </c>
      <c r="ALL20" s="270"/>
      <c r="ALM20" s="270"/>
      <c r="ALN20" s="270"/>
      <c r="ALO20" s="270"/>
      <c r="ALP20" s="270"/>
      <c r="ALQ20" s="270"/>
      <c r="ALR20" s="270"/>
      <c r="ALS20" s="270"/>
      <c r="ALT20" s="270"/>
      <c r="ALU20" s="270"/>
      <c r="ALV20" s="270"/>
      <c r="ALW20" s="270"/>
    </row>
    <row r="21" customFormat="false" ht="15" hidden="false" customHeight="false" outlineLevel="0" collapsed="false">
      <c r="A21" s="294"/>
      <c r="B21" s="294"/>
      <c r="C21" s="294"/>
      <c r="D21" s="294"/>
      <c r="E21" s="295"/>
      <c r="F21" s="295"/>
      <c r="G21" s="295"/>
      <c r="H21" s="295"/>
      <c r="I21" s="295"/>
      <c r="J21" s="295"/>
      <c r="K21" s="295"/>
      <c r="L21" s="295"/>
      <c r="M21" s="295"/>
      <c r="N21" s="295"/>
      <c r="O21" s="295"/>
      <c r="P21" s="295"/>
      <c r="Q21" s="295"/>
      <c r="R21" s="295"/>
      <c r="S21" s="295"/>
      <c r="T21" s="295"/>
      <c r="U21" s="295"/>
      <c r="V21" s="295"/>
      <c r="W21" s="295"/>
      <c r="X21" s="295"/>
      <c r="Y21" s="295"/>
      <c r="Z21" s="295"/>
      <c r="AA21" s="296"/>
      <c r="AB21" s="296"/>
      <c r="ALO21" s="297"/>
      <c r="ALP21" s="297"/>
      <c r="ALQ21" s="297"/>
      <c r="ALR21" s="297"/>
      <c r="ALS21" s="297"/>
      <c r="ALT21" s="297"/>
      <c r="ALU21" s="297"/>
      <c r="ALV21" s="297"/>
      <c r="ALW21" s="297"/>
    </row>
    <row r="22" customFormat="false" ht="15" hidden="false" customHeight="false" outlineLevel="0" collapsed="false">
      <c r="A22" s="298" t="s">
        <v>330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9" t="n">
        <f aca="false">AA20</f>
        <v>92281.2230490921</v>
      </c>
      <c r="AB22" s="299" t="n">
        <f aca="false">AB20</f>
        <v>35805.3157226984</v>
      </c>
    </row>
    <row r="23" customFormat="false" ht="15" hidden="false" customHeight="false" outlineLevel="0" collapsed="false">
      <c r="A23" s="300"/>
      <c r="B23" s="300"/>
      <c r="C23" s="300"/>
      <c r="D23" s="300"/>
      <c r="E23" s="301"/>
      <c r="F23" s="302"/>
      <c r="G23" s="302"/>
      <c r="H23" s="302"/>
      <c r="I23" s="301"/>
      <c r="J23" s="301"/>
      <c r="K23" s="299"/>
      <c r="L23" s="299"/>
      <c r="M23" s="299"/>
      <c r="N23" s="299"/>
      <c r="O23" s="299"/>
      <c r="P23" s="299"/>
      <c r="Q23" s="299"/>
      <c r="R23" s="303"/>
      <c r="S23" s="304"/>
      <c r="T23" s="301"/>
      <c r="U23" s="302"/>
      <c r="V23" s="301"/>
      <c r="W23" s="301"/>
      <c r="X23" s="299"/>
      <c r="Y23" s="299"/>
      <c r="Z23" s="299"/>
      <c r="AA23" s="299"/>
      <c r="AB23" s="299"/>
    </row>
    <row r="24" customFormat="false" ht="14.25" hidden="false" customHeight="false" outlineLevel="0" collapsed="false">
      <c r="A24" s="305"/>
      <c r="B24" s="305"/>
      <c r="C24" s="305"/>
      <c r="D24" s="305"/>
      <c r="E24" s="306"/>
      <c r="F24" s="306"/>
      <c r="G24" s="306"/>
      <c r="H24" s="306"/>
      <c r="I24" s="306"/>
      <c r="J24" s="306"/>
      <c r="K24" s="307"/>
      <c r="L24" s="307"/>
      <c r="M24" s="307"/>
      <c r="N24" s="307"/>
      <c r="O24" s="307"/>
      <c r="P24" s="306"/>
      <c r="Q24" s="306"/>
      <c r="R24" s="306"/>
      <c r="S24" s="307"/>
      <c r="T24" s="307"/>
      <c r="U24" s="306"/>
      <c r="V24" s="306"/>
      <c r="W24" s="306"/>
      <c r="X24" s="307"/>
      <c r="Y24" s="307"/>
      <c r="Z24" s="307"/>
      <c r="AA24" s="308" t="s">
        <v>55</v>
      </c>
      <c r="AB24" s="303" t="n">
        <f aca="false">AA22+AB22</f>
        <v>128086.538771791</v>
      </c>
    </row>
    <row r="25" customFormat="false" ht="14.25" hidden="false" customHeight="false" outlineLevel="0" collapsed="false">
      <c r="A25" s="309"/>
      <c r="B25" s="309"/>
      <c r="C25" s="309"/>
      <c r="D25" s="309"/>
      <c r="E25" s="310"/>
      <c r="F25" s="310"/>
      <c r="G25" s="310"/>
      <c r="H25" s="310"/>
      <c r="I25" s="310"/>
      <c r="J25" s="310"/>
      <c r="K25" s="311"/>
      <c r="L25" s="311"/>
      <c r="M25" s="311"/>
      <c r="N25" s="311"/>
      <c r="O25" s="311"/>
      <c r="P25" s="310"/>
      <c r="Q25" s="310"/>
      <c r="R25" s="310"/>
      <c r="S25" s="311"/>
      <c r="T25" s="311"/>
      <c r="U25" s="310"/>
      <c r="V25" s="310"/>
      <c r="W25" s="310"/>
      <c r="X25" s="311"/>
      <c r="Y25" s="311"/>
      <c r="Z25" s="311"/>
      <c r="AA25" s="308"/>
      <c r="AB25" s="303" t="n">
        <f aca="false">AB24*12</f>
        <v>1537038.46526149</v>
      </c>
    </row>
    <row r="26" customFormat="false" ht="14.25" hidden="false" customHeight="false" outlineLevel="0" collapsed="false">
      <c r="E26" s="312" t="s">
        <v>331</v>
      </c>
      <c r="AD26" s="313"/>
      <c r="AE26" s="314"/>
    </row>
    <row r="27" customFormat="false" ht="14.25" hidden="false" customHeight="false" outlineLevel="0" collapsed="false">
      <c r="AD27" s="313"/>
      <c r="AE27" s="314"/>
    </row>
    <row r="29" customFormat="false" ht="14.25" hidden="false" customHeight="false" outlineLevel="0" collapsed="false">
      <c r="AD29" s="313"/>
      <c r="AE29" s="314"/>
    </row>
    <row r="31" customFormat="false" ht="14.25" hidden="false" customHeight="false" outlineLevel="0" collapsed="false">
      <c r="AD31" s="313"/>
      <c r="AE31" s="314"/>
    </row>
    <row r="33" customFormat="false" ht="14.25" hidden="false" customHeight="false" outlineLevel="0" collapsed="false">
      <c r="AD33" s="313"/>
      <c r="AE33" s="314"/>
    </row>
    <row r="34" customFormat="false" ht="14.25" hidden="false" customHeight="false" outlineLevel="0" collapsed="false">
      <c r="AD34" s="313"/>
    </row>
    <row r="37" customFormat="false" ht="14.25" hidden="false" customHeight="false" outlineLevel="0" collapsed="false">
      <c r="AD37" s="313"/>
      <c r="AE37" s="314"/>
    </row>
  </sheetData>
  <mergeCells count="22">
    <mergeCell ref="A1:AB1"/>
    <mergeCell ref="E2:N2"/>
    <mergeCell ref="O2:T2"/>
    <mergeCell ref="U2:Z2"/>
    <mergeCell ref="A3:C5"/>
    <mergeCell ref="D3:D5"/>
    <mergeCell ref="E3:F4"/>
    <mergeCell ref="G3:H4"/>
    <mergeCell ref="I3:J4"/>
    <mergeCell ref="K3:L4"/>
    <mergeCell ref="M3:N4"/>
    <mergeCell ref="O3:P4"/>
    <mergeCell ref="Q3:R4"/>
    <mergeCell ref="S3:T4"/>
    <mergeCell ref="U3:V4"/>
    <mergeCell ref="W3:X4"/>
    <mergeCell ref="Y3:Z4"/>
    <mergeCell ref="AA3:AA4"/>
    <mergeCell ref="AB3:AB4"/>
    <mergeCell ref="A20:D20"/>
    <mergeCell ref="A22:Z22"/>
    <mergeCell ref="AA24:AA25"/>
  </mergeCells>
  <printOptions headings="false" gridLines="false" gridLinesSet="true" horizontalCentered="false" verticalCentered="false"/>
  <pageMargins left="0" right="0" top="0.39375" bottom="0.39375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A7070"/>
    <pageSetUpPr fitToPage="false"/>
  </sheetPr>
  <dimension ref="A1:ALS17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3" topLeftCell="O4" activePane="bottomRight" state="frozen"/>
      <selection pane="topLeft" activeCell="A1" activeCellId="0" sqref="A1"/>
      <selection pane="topRight" activeCell="O1" activeCellId="0" sqref="O1"/>
      <selection pane="bottomLeft" activeCell="A4" activeCellId="0" sqref="A4"/>
      <selection pane="bottomRight" activeCell="W30" activeCellId="0" sqref="W30"/>
    </sheetView>
  </sheetViews>
  <sheetFormatPr defaultRowHeight="14.25" zeroHeight="false" outlineLevelRow="0" outlineLevelCol="0"/>
  <cols>
    <col collapsed="false" customWidth="true" hidden="false" outlineLevel="0" max="1" min="1" style="0" width="34.5"/>
    <col collapsed="false" customWidth="true" hidden="false" outlineLevel="0" max="4" min="2" style="0" width="8.62"/>
    <col collapsed="false" customWidth="true" hidden="false" outlineLevel="0" max="6" min="5" style="0" width="13.63"/>
    <col collapsed="false" customWidth="true" hidden="false" outlineLevel="0" max="7" min="7" style="0" width="9.62"/>
    <col collapsed="false" customWidth="true" hidden="false" outlineLevel="0" max="8" min="8" style="0" width="11.62"/>
    <col collapsed="false" customWidth="true" hidden="false" outlineLevel="0" max="9" min="9" style="0" width="8.62"/>
    <col collapsed="false" customWidth="true" hidden="false" outlineLevel="0" max="10" min="10" style="0" width="13.5"/>
    <col collapsed="false" customWidth="true" hidden="false" outlineLevel="0" max="11" min="11" style="0" width="11.13"/>
    <col collapsed="false" customWidth="true" hidden="false" outlineLevel="0" max="12" min="12" style="0" width="9.88"/>
    <col collapsed="false" customWidth="true" hidden="false" outlineLevel="0" max="13" min="13" style="0" width="12.25"/>
    <col collapsed="false" customWidth="true" hidden="false" outlineLevel="0" max="14" min="14" style="0" width="12.5"/>
    <col collapsed="false" customWidth="true" hidden="false" outlineLevel="0" max="22" min="15" style="0" width="9.26"/>
    <col collapsed="false" customWidth="true" hidden="false" outlineLevel="0" max="23" min="23" style="0" width="10.87"/>
    <col collapsed="false" customWidth="true" hidden="false" outlineLevel="0" max="25" min="24" style="0" width="10.62"/>
    <col collapsed="false" customWidth="true" hidden="false" outlineLevel="0" max="26" min="26" style="0" width="11.62"/>
    <col collapsed="false" customWidth="true" hidden="false" outlineLevel="0" max="1025" min="27" style="0" width="10.62"/>
  </cols>
  <sheetData>
    <row r="1" customFormat="false" ht="15" hidden="false" customHeight="true" outlineLevel="0" collapsed="false">
      <c r="A1" s="294"/>
      <c r="B1" s="294"/>
      <c r="C1" s="315" t="s">
        <v>293</v>
      </c>
      <c r="D1" s="315"/>
      <c r="E1" s="315"/>
      <c r="F1" s="315"/>
      <c r="G1" s="315"/>
      <c r="H1" s="315"/>
      <c r="I1" s="316" t="s">
        <v>294</v>
      </c>
      <c r="J1" s="316"/>
      <c r="K1" s="316"/>
      <c r="L1" s="317" t="s">
        <v>295</v>
      </c>
      <c r="M1" s="317"/>
      <c r="N1" s="317"/>
      <c r="O1" s="294"/>
      <c r="P1" s="294"/>
      <c r="Q1" s="294"/>
      <c r="R1" s="294"/>
      <c r="S1" s="294"/>
      <c r="T1" s="294"/>
      <c r="U1" s="294"/>
      <c r="V1" s="294"/>
      <c r="W1" s="318"/>
      <c r="X1" s="318"/>
      <c r="Y1" s="318"/>
      <c r="Z1" s="294"/>
    </row>
    <row r="2" customFormat="false" ht="68.1" hidden="false" customHeight="true" outlineLevel="0" collapsed="false">
      <c r="A2" s="319" t="s">
        <v>298</v>
      </c>
      <c r="B2" s="319" t="s">
        <v>299</v>
      </c>
      <c r="C2" s="320" t="s">
        <v>332</v>
      </c>
      <c r="D2" s="244" t="s">
        <v>300</v>
      </c>
      <c r="E2" s="244" t="s">
        <v>301</v>
      </c>
      <c r="F2" s="245" t="s">
        <v>302</v>
      </c>
      <c r="G2" s="243" t="s">
        <v>303</v>
      </c>
      <c r="H2" s="321" t="s">
        <v>333</v>
      </c>
      <c r="I2" s="322" t="s">
        <v>305</v>
      </c>
      <c r="J2" s="246" t="s">
        <v>334</v>
      </c>
      <c r="K2" s="323" t="s">
        <v>307</v>
      </c>
      <c r="L2" s="324" t="s">
        <v>308</v>
      </c>
      <c r="M2" s="248" t="s">
        <v>309</v>
      </c>
      <c r="N2" s="325" t="s">
        <v>310</v>
      </c>
      <c r="O2" s="326" t="s">
        <v>335</v>
      </c>
      <c r="P2" s="327" t="s">
        <v>336</v>
      </c>
      <c r="Q2" s="327"/>
      <c r="R2" s="327"/>
      <c r="S2" s="327"/>
      <c r="T2" s="328" t="s">
        <v>337</v>
      </c>
      <c r="U2" s="328"/>
      <c r="V2" s="329" t="s">
        <v>338</v>
      </c>
    </row>
    <row r="3" customFormat="false" ht="15" hidden="false" customHeight="false" outlineLevel="0" collapsed="false">
      <c r="A3" s="319"/>
      <c r="B3" s="319"/>
      <c r="C3" s="319"/>
      <c r="D3" s="244"/>
      <c r="E3" s="244"/>
      <c r="F3" s="245"/>
      <c r="G3" s="243"/>
      <c r="H3" s="321"/>
      <c r="I3" s="322"/>
      <c r="J3" s="246"/>
      <c r="K3" s="323"/>
      <c r="L3" s="324"/>
      <c r="M3" s="248"/>
      <c r="N3" s="325"/>
      <c r="O3" s="326"/>
      <c r="P3" s="330" t="s">
        <v>339</v>
      </c>
      <c r="Q3" s="330" t="s">
        <v>340</v>
      </c>
      <c r="R3" s="330" t="s">
        <v>341</v>
      </c>
      <c r="S3" s="331" t="s">
        <v>342</v>
      </c>
      <c r="T3" s="256" t="s">
        <v>343</v>
      </c>
      <c r="U3" s="256" t="s">
        <v>344</v>
      </c>
      <c r="V3" s="329" t="s">
        <v>343</v>
      </c>
    </row>
    <row r="4" customFormat="false" ht="14.25" hidden="false" customHeight="false" outlineLevel="0" collapsed="false">
      <c r="A4" s="332" t="s">
        <v>77</v>
      </c>
      <c r="B4" s="333" t="n">
        <f aca="false">MC!D69</f>
        <v>0.02</v>
      </c>
      <c r="C4" s="334" t="n">
        <v>1758.27</v>
      </c>
      <c r="D4" s="335" t="n">
        <f aca="false">C4-E4-F4-G4-H4</f>
        <v>88.9999999999999</v>
      </c>
      <c r="E4" s="336" t="n">
        <f aca="false">$E$19*(1-H4/$H$19)</f>
        <v>538.16</v>
      </c>
      <c r="F4" s="337" t="n">
        <v>803.03</v>
      </c>
      <c r="G4" s="337" t="n">
        <v>262.62</v>
      </c>
      <c r="H4" s="337" t="n">
        <v>65.46</v>
      </c>
      <c r="I4" s="337" t="n">
        <v>365.93</v>
      </c>
      <c r="J4" s="337"/>
      <c r="K4" s="337" t="n">
        <f aca="false">SUM(E4:H4)</f>
        <v>1669.27</v>
      </c>
      <c r="L4" s="337"/>
      <c r="M4" s="337" t="n">
        <v>232.42</v>
      </c>
      <c r="N4" s="338" t="n">
        <v>911.39</v>
      </c>
      <c r="O4" s="339" t="n">
        <f aca="false">D4/$D$19+E4/$E$19+F4/$F$19+G4/$G$19+H4/$H$19+I4/$I$19+J4/$J$19+K4/$K$19+M4/$M$19*16*1/188.76+N4/$N$19*16*1/188.76</f>
        <v>2.64587047566203</v>
      </c>
      <c r="P4" s="340" t="n">
        <v>1</v>
      </c>
      <c r="Q4" s="341"/>
      <c r="R4" s="342"/>
      <c r="S4" s="342"/>
      <c r="T4" s="343"/>
      <c r="U4" s="344"/>
      <c r="V4" s="345" t="n">
        <v>1</v>
      </c>
    </row>
    <row r="5" customFormat="false" ht="14.25" hidden="false" customHeight="false" outlineLevel="0" collapsed="false">
      <c r="A5" s="346" t="s">
        <v>78</v>
      </c>
      <c r="B5" s="347" t="n">
        <f aca="false">MC!D70</f>
        <v>0.02</v>
      </c>
      <c r="C5" s="348" t="n">
        <v>382.87</v>
      </c>
      <c r="D5" s="349"/>
      <c r="E5" s="349" t="n">
        <f aca="false">($E$19*30/40)*(1-H5/$H$19)</f>
        <v>600</v>
      </c>
      <c r="F5" s="349"/>
      <c r="G5" s="349" t="n">
        <v>0</v>
      </c>
      <c r="H5" s="349"/>
      <c r="I5" s="349"/>
      <c r="J5" s="349"/>
      <c r="K5" s="349"/>
      <c r="L5" s="349"/>
      <c r="M5" s="349"/>
      <c r="N5" s="350"/>
      <c r="O5" s="351" t="n">
        <f aca="false">D5/$D$19+E5/$E$19+F5/$F$19+G5/$G$19+H5/$H$19+I5/$I$19+J5/$J$19+K5/$K$19+M5/$M$19*16*1/188.76+N5/$N$19*16*1/188.76</f>
        <v>0.75</v>
      </c>
      <c r="P5" s="352"/>
      <c r="Q5" s="353"/>
      <c r="R5" s="354" t="n">
        <v>1</v>
      </c>
      <c r="S5" s="354"/>
      <c r="T5" s="355"/>
      <c r="U5" s="356"/>
      <c r="V5" s="357"/>
    </row>
    <row r="6" customFormat="false" ht="14.25" hidden="false" customHeight="false" outlineLevel="0" collapsed="false">
      <c r="A6" s="346" t="s">
        <v>79</v>
      </c>
      <c r="B6" s="347" t="n">
        <f aca="false">MC!D71</f>
        <v>0.025</v>
      </c>
      <c r="C6" s="348" t="n">
        <v>1183.51</v>
      </c>
      <c r="D6" s="349" t="n">
        <f aca="false">C6-E6-F6-G6-H6</f>
        <v>-49.6800000000001</v>
      </c>
      <c r="E6" s="349" t="n">
        <f aca="false">$E$19*(1-H6/$H$19)</f>
        <v>574.88</v>
      </c>
      <c r="F6" s="349" t="n">
        <f aca="false">9+16.38+12.23+30.52+1.95+10.6+10.8+4.5+16.67+5.82+16.13+14.85+42.67+3.2+6.32+10.5+17.1+2.65+57.11+5.63+2.91+158.84+48.02+7.93+8.13+29.58+21.5+4.93+13.78+2.06+4.89+4.83</f>
        <v>602.03</v>
      </c>
      <c r="G6" s="349" t="n">
        <v>0</v>
      </c>
      <c r="H6" s="349" t="n">
        <f aca="false">8.22+5.29+3.3*2+5.02+8.64+3.02+7.28+1.87+3.45*2+1.72*2</f>
        <v>56.28</v>
      </c>
      <c r="I6" s="349" t="n">
        <f aca="false">201.2+340</f>
        <v>541.2</v>
      </c>
      <c r="J6" s="349"/>
      <c r="K6" s="335" t="n">
        <f aca="false">SUM(E6:H6)</f>
        <v>1233.19</v>
      </c>
      <c r="L6" s="349"/>
      <c r="M6" s="349" t="n">
        <v>69.12</v>
      </c>
      <c r="N6" s="350" t="n">
        <v>386.66</v>
      </c>
      <c r="O6" s="351" t="n">
        <f aca="false">D6/$D$19+E6/$E$19+F6/$F$19+G6/$G$19+H6/$H$19+I6/$I$19+J6/$J$19+K6/$K$19+M6/$M$19*16*1/188.76+N6/$N$19*16*1/188.76</f>
        <v>1.94711905828621</v>
      </c>
      <c r="P6" s="352" t="n">
        <v>1</v>
      </c>
      <c r="Q6" s="353"/>
      <c r="R6" s="354"/>
      <c r="S6" s="354" t="n">
        <v>1</v>
      </c>
      <c r="T6" s="355"/>
      <c r="U6" s="356" t="n">
        <v>1</v>
      </c>
      <c r="V6" s="357"/>
    </row>
    <row r="7" customFormat="false" ht="14.25" hidden="false" customHeight="false" outlineLevel="0" collapsed="false">
      <c r="A7" s="346" t="s">
        <v>80</v>
      </c>
      <c r="B7" s="347" t="n">
        <f aca="false">MC!D72</f>
        <v>0.03</v>
      </c>
      <c r="C7" s="348" t="n">
        <v>357.62</v>
      </c>
      <c r="D7" s="349"/>
      <c r="E7" s="349" t="n">
        <f aca="false">($E$19*30/40)*(1-H7/$H$19)</f>
        <v>600</v>
      </c>
      <c r="F7" s="349"/>
      <c r="G7" s="349"/>
      <c r="H7" s="349"/>
      <c r="I7" s="349"/>
      <c r="J7" s="349"/>
      <c r="K7" s="349"/>
      <c r="L7" s="349"/>
      <c r="M7" s="349"/>
      <c r="N7" s="350"/>
      <c r="O7" s="351" t="n">
        <f aca="false">D7/$D$19+E7/$E$19+F7/$F$19+G7/$G$19+H7/$H$19+I7/$I$19+J7/$J$19+K7/$K$19+M7/$M$19*16*1/188.76+N7/$N$19*16*1/188.76</f>
        <v>0.75</v>
      </c>
      <c r="P7" s="352"/>
      <c r="Q7" s="353"/>
      <c r="R7" s="354" t="n">
        <v>1</v>
      </c>
      <c r="S7" s="354"/>
      <c r="T7" s="355"/>
      <c r="U7" s="356"/>
      <c r="V7" s="357"/>
    </row>
    <row r="8" customFormat="false" ht="14.25" hidden="false" customHeight="false" outlineLevel="0" collapsed="false">
      <c r="A8" s="346" t="s">
        <v>81</v>
      </c>
      <c r="B8" s="347" t="n">
        <f aca="false">MC!D73</f>
        <v>0.03</v>
      </c>
      <c r="C8" s="348" t="n">
        <v>1089.99</v>
      </c>
      <c r="D8" s="349" t="n">
        <f aca="false">C8-E8-F8-G8-H8</f>
        <v>7.21000000000015</v>
      </c>
      <c r="E8" s="349" t="n">
        <f aca="false">$E$19*(1-H8/$H$19)</f>
        <v>473.52</v>
      </c>
      <c r="F8" s="349" t="n">
        <f aca="false">268.54+81.53+26.01+7.27+3.22+37.58+10.69+36.44+22.02+14.62+4.5+3.6+11.62</f>
        <v>527.64</v>
      </c>
      <c r="G8" s="349" t="n">
        <v>0</v>
      </c>
      <c r="H8" s="349" t="n">
        <f aca="false">8.02*4+10.75*4+3.27*2</f>
        <v>81.62</v>
      </c>
      <c r="I8" s="349" t="n">
        <v>55</v>
      </c>
      <c r="J8" s="349"/>
      <c r="K8" s="335" t="n">
        <f aca="false">SUM(E8:H8)</f>
        <v>1082.78</v>
      </c>
      <c r="L8" s="349"/>
      <c r="M8" s="349" t="n">
        <v>100.2</v>
      </c>
      <c r="N8" s="350" t="n">
        <v>295.86</v>
      </c>
      <c r="O8" s="351" t="n">
        <f aca="false">D8/$D$19+E8/$E$19+F8/$F$19+G8/$G$19+H8/$H$19+I8/$I$19+J8/$J$19+K8/$K$19+M8/$M$19*16*1/188.76+N8/$N$19*16*1/188.76</f>
        <v>1.660137492546</v>
      </c>
      <c r="P8" s="352"/>
      <c r="Q8" s="353"/>
      <c r="R8" s="354" t="n">
        <v>1</v>
      </c>
      <c r="S8" s="354" t="n">
        <v>1</v>
      </c>
      <c r="T8" s="355"/>
      <c r="U8" s="356" t="n">
        <v>1</v>
      </c>
      <c r="V8" s="357"/>
    </row>
    <row r="9" customFormat="false" ht="14.25" hidden="false" customHeight="false" outlineLevel="0" collapsed="false">
      <c r="A9" s="346" t="s">
        <v>82</v>
      </c>
      <c r="B9" s="347" t="n">
        <f aca="false">MC!D74</f>
        <v>0.02</v>
      </c>
      <c r="C9" s="348" t="n">
        <v>1685.51</v>
      </c>
      <c r="D9" s="349" t="n">
        <f aca="false">C9-E9-F9-G9-H9</f>
        <v>334.16</v>
      </c>
      <c r="E9" s="349" t="n">
        <f aca="false">$E$19*(1-H9/$H$19)</f>
        <v>362.16</v>
      </c>
      <c r="F9" s="349" t="n">
        <f aca="false">36.6+57.92+36.6+2.1+11.24+20.76+68.91+19.53+47.65+11.38+15.07+3.56+9.66+21.9+169.89+55.66+235.8+26.22+10.96+12.9+5.42</f>
        <v>879.73</v>
      </c>
      <c r="G9" s="349" t="n">
        <v>0</v>
      </c>
      <c r="H9" s="349" t="n">
        <f aca="false">5.98+15.22+15.34*2+4.09+15.22+15.17+9.9+9.2+4</f>
        <v>109.46</v>
      </c>
      <c r="I9" s="349" t="n">
        <f aca="false">294+115</f>
        <v>409</v>
      </c>
      <c r="J9" s="349"/>
      <c r="K9" s="335" t="n">
        <f aca="false">SUM(E9:H9)</f>
        <v>1351.35</v>
      </c>
      <c r="L9" s="349"/>
      <c r="M9" s="349" t="n">
        <v>200.94</v>
      </c>
      <c r="N9" s="350" t="n">
        <v>398.63</v>
      </c>
      <c r="O9" s="351" t="n">
        <f aca="false">D9/$D$19+E9/$E$19+F9/$F$19+G9/$G$19+H9/$H$19+I9/$I$19+J9/$J$19+K9/$K$19+M9/$M$19*16*1/188.76+N9/$N$19*16*1/188.76</f>
        <v>2.59037542645818</v>
      </c>
      <c r="P9" s="352" t="n">
        <v>1</v>
      </c>
      <c r="Q9" s="353"/>
      <c r="R9" s="354"/>
      <c r="S9" s="354" t="n">
        <v>2</v>
      </c>
      <c r="T9" s="355" t="n">
        <v>1</v>
      </c>
      <c r="U9" s="356" t="n">
        <v>1</v>
      </c>
      <c r="V9" s="357"/>
    </row>
    <row r="10" customFormat="false" ht="14.25" hidden="false" customHeight="false" outlineLevel="0" collapsed="false">
      <c r="A10" s="346" t="s">
        <v>83</v>
      </c>
      <c r="B10" s="347" t="n">
        <f aca="false">MC!D75</f>
        <v>0.02</v>
      </c>
      <c r="C10" s="358" t="n">
        <v>920.35</v>
      </c>
      <c r="D10" s="349" t="n">
        <f aca="false">C10-E10-F10-G10-H10</f>
        <v>96.54</v>
      </c>
      <c r="E10" s="349" t="n">
        <f aca="false">$E$19*(1-H10/$H$19)</f>
        <v>684.48</v>
      </c>
      <c r="F10" s="349" t="n">
        <v>0</v>
      </c>
      <c r="G10" s="349" t="n">
        <v>110.45</v>
      </c>
      <c r="H10" s="349" t="n">
        <v>28.88</v>
      </c>
      <c r="I10" s="349"/>
      <c r="J10" s="349"/>
      <c r="K10" s="335" t="n">
        <f aca="false">SUM(E10:H10)</f>
        <v>823.81</v>
      </c>
      <c r="L10" s="349"/>
      <c r="M10" s="349"/>
      <c r="N10" s="350" t="n">
        <v>404.75</v>
      </c>
      <c r="O10" s="351" t="n">
        <f aca="false">D10/$D$19+E10/$E$19+F10/$F$19+G10/$G$19+H10/$H$19+I10/$I$19+J10/$J$19+K10/$K$19+M10/$M$19*16*1/188.76+N10/$N$19*16*1/188.76</f>
        <v>1.4587111827885</v>
      </c>
      <c r="P10" s="352" t="n">
        <v>1</v>
      </c>
      <c r="Q10" s="353" t="n">
        <v>1</v>
      </c>
      <c r="R10" s="354"/>
      <c r="S10" s="354" t="n">
        <v>2</v>
      </c>
      <c r="T10" s="355" t="n">
        <v>2</v>
      </c>
      <c r="U10" s="356" t="n">
        <v>1</v>
      </c>
      <c r="V10" s="357"/>
    </row>
    <row r="11" customFormat="false" ht="14.25" hidden="false" customHeight="false" outlineLevel="0" collapsed="false">
      <c r="A11" s="346" t="s">
        <v>84</v>
      </c>
      <c r="B11" s="347" t="n">
        <f aca="false">MC!D76</f>
        <v>0.02</v>
      </c>
      <c r="C11" s="348" t="n">
        <v>745.51</v>
      </c>
      <c r="D11" s="349"/>
      <c r="E11" s="349" t="n">
        <f aca="false">$E$19*(1-H11/$H$19)</f>
        <v>576.32</v>
      </c>
      <c r="F11" s="349"/>
      <c r="G11" s="349"/>
      <c r="H11" s="349" t="n">
        <f aca="false">4.34+2.6*2+4.34+4.42+4.76+1.67+4.02+3.38+9.69+10.2+3.9</f>
        <v>55.92</v>
      </c>
      <c r="I11" s="349" t="n">
        <v>413</v>
      </c>
      <c r="J11" s="349"/>
      <c r="K11" s="335" t="n">
        <f aca="false">SUM(E11:H11)</f>
        <v>632.24</v>
      </c>
      <c r="L11" s="349"/>
      <c r="M11" s="349" t="n">
        <v>139.77</v>
      </c>
      <c r="N11" s="350" t="n">
        <v>238</v>
      </c>
      <c r="O11" s="351" t="n">
        <f aca="false">D11/$D$19+E11/$E$19+F11/$F$19+G11/$G$19+H11/$H$19+I11/$I$19+J11/$J$19+K11/$K$19+M11/$M$19*16*1/188.76+N11/$N$19*16*1/188.76</f>
        <v>1.41908406969957</v>
      </c>
      <c r="P11" s="352"/>
      <c r="Q11" s="353"/>
      <c r="R11" s="354" t="n">
        <v>1</v>
      </c>
      <c r="S11" s="354" t="n">
        <v>1</v>
      </c>
      <c r="T11" s="355"/>
      <c r="U11" s="356" t="n">
        <v>1</v>
      </c>
      <c r="V11" s="357"/>
    </row>
    <row r="12" customFormat="false" ht="14.25" hidden="false" customHeight="false" outlineLevel="0" collapsed="false">
      <c r="A12" s="346" t="s">
        <v>85</v>
      </c>
      <c r="B12" s="347" t="n">
        <f aca="false">MC!D77</f>
        <v>0.02</v>
      </c>
      <c r="C12" s="348" t="n">
        <v>760.1</v>
      </c>
      <c r="D12" s="349"/>
      <c r="E12" s="349" t="n">
        <f aca="false">$E$19*(1-H12/$H$19)</f>
        <v>800</v>
      </c>
      <c r="F12" s="349"/>
      <c r="G12" s="349"/>
      <c r="H12" s="349"/>
      <c r="I12" s="349"/>
      <c r="J12" s="349"/>
      <c r="K12" s="349"/>
      <c r="L12" s="349"/>
      <c r="M12" s="349"/>
      <c r="N12" s="350"/>
      <c r="O12" s="351" t="n">
        <f aca="false">D12/$D$19+E12/$E$19+F12/$F$19+G12/$G$19+H12/$H$19+I12/$I$19+J12/$J$19+K12/$K$19+M12/$M$19*16*1/188.76+N12/$N$19*16*1/188.76</f>
        <v>1</v>
      </c>
      <c r="P12" s="352" t="n">
        <v>1</v>
      </c>
      <c r="Q12" s="353"/>
      <c r="R12" s="354"/>
      <c r="S12" s="354"/>
      <c r="T12" s="355"/>
      <c r="U12" s="356" t="n">
        <v>1</v>
      </c>
      <c r="V12" s="357"/>
    </row>
    <row r="13" customFormat="false" ht="14.25" hidden="false" customHeight="false" outlineLevel="0" collapsed="false">
      <c r="A13" s="346" t="s">
        <v>86</v>
      </c>
      <c r="B13" s="347" t="n">
        <f aca="false">MC!D78</f>
        <v>0.025</v>
      </c>
      <c r="C13" s="348" t="n">
        <v>376.96</v>
      </c>
      <c r="D13" s="349"/>
      <c r="E13" s="349" t="n">
        <f aca="false">($E$19*30/40)*(1-H13/$H$19)</f>
        <v>600</v>
      </c>
      <c r="F13" s="349"/>
      <c r="G13" s="349"/>
      <c r="H13" s="349"/>
      <c r="I13" s="349"/>
      <c r="J13" s="349"/>
      <c r="K13" s="349"/>
      <c r="L13" s="349"/>
      <c r="M13" s="349"/>
      <c r="N13" s="350"/>
      <c r="O13" s="351" t="n">
        <f aca="false">D13/$D$19+E13/$E$19+F13/$F$19+G13/$G$19+H13/$H$19+I13/$I$19+J13/$J$19+K13/$K$19+M13/$M$19*16*1/188.76+N13/$N$19*16*1/188.76</f>
        <v>0.75</v>
      </c>
      <c r="P13" s="352"/>
      <c r="Q13" s="353"/>
      <c r="R13" s="354" t="n">
        <v>1</v>
      </c>
      <c r="S13" s="354"/>
      <c r="T13" s="355"/>
      <c r="U13" s="356"/>
      <c r="V13" s="357"/>
    </row>
    <row r="14" customFormat="false" ht="14.25" hidden="false" customHeight="false" outlineLevel="0" collapsed="false">
      <c r="A14" s="346" t="s">
        <v>87</v>
      </c>
      <c r="B14" s="347" t="n">
        <f aca="false">MC!D79</f>
        <v>0.025</v>
      </c>
      <c r="C14" s="348" t="n">
        <v>379.82</v>
      </c>
      <c r="D14" s="349"/>
      <c r="E14" s="349" t="n">
        <f aca="false">$E$19*(1-H14/$H$19)</f>
        <v>696.28</v>
      </c>
      <c r="F14" s="349"/>
      <c r="G14" s="349"/>
      <c r="H14" s="349" t="n">
        <f aca="false">8.83*2+3+2.58+2.69</f>
        <v>25.93</v>
      </c>
      <c r="I14" s="349"/>
      <c r="J14" s="349"/>
      <c r="K14" s="335" t="n">
        <f aca="false">SUM(E14:H14)</f>
        <v>722.21</v>
      </c>
      <c r="L14" s="349"/>
      <c r="M14" s="349" t="n">
        <v>65.25</v>
      </c>
      <c r="N14" s="350" t="n">
        <v>104.68</v>
      </c>
      <c r="O14" s="351" t="n">
        <f aca="false">D14/$D$19+E14/$E$19+F14/$F$19+G14/$G$19+H14/$H$19+I14/$I$19+J14/$J$19+K14/$K$19+M14/$M$19*16*1/188.76+N14/$N$19*16*1/188.76</f>
        <v>1.15827333104694</v>
      </c>
      <c r="P14" s="352"/>
      <c r="Q14" s="353"/>
      <c r="R14" s="354" t="n">
        <v>1</v>
      </c>
      <c r="S14" s="354"/>
      <c r="T14" s="355"/>
      <c r="U14" s="356"/>
      <c r="V14" s="357"/>
    </row>
    <row r="15" customFormat="false" ht="14.25" hidden="false" customHeight="false" outlineLevel="0" collapsed="false">
      <c r="A15" s="346" t="s">
        <v>88</v>
      </c>
      <c r="B15" s="347" t="n">
        <f aca="false">MC!D80</f>
        <v>0.03</v>
      </c>
      <c r="C15" s="348" t="n">
        <v>752.48</v>
      </c>
      <c r="D15" s="349"/>
      <c r="E15" s="349" t="n">
        <f aca="false">($E$19*30/40)*(1-H15/$H$19)</f>
        <v>600</v>
      </c>
      <c r="F15" s="349"/>
      <c r="G15" s="349"/>
      <c r="H15" s="349"/>
      <c r="I15" s="349"/>
      <c r="J15" s="349"/>
      <c r="K15" s="349"/>
      <c r="L15" s="349"/>
      <c r="M15" s="349"/>
      <c r="N15" s="350"/>
      <c r="O15" s="351" t="n">
        <f aca="false">D15/$D$19+E15/$E$19+F15/$F$19+G15/$G$19+H15/$H$19+I15/$I$19+J15/$J$19+K15/$K$19+M15/$M$19*16*1/188.76+N15/$N$19*16*1/188.76</f>
        <v>0.75</v>
      </c>
      <c r="P15" s="352"/>
      <c r="Q15" s="353"/>
      <c r="R15" s="354" t="n">
        <v>1</v>
      </c>
      <c r="S15" s="354"/>
      <c r="T15" s="355"/>
      <c r="U15" s="356" t="n">
        <v>1</v>
      </c>
      <c r="V15" s="357"/>
    </row>
    <row r="16" customFormat="false" ht="14.25" hidden="false" customHeight="false" outlineLevel="0" collapsed="false">
      <c r="A16" s="346" t="s">
        <v>89</v>
      </c>
      <c r="B16" s="347" t="n">
        <f aca="false">MC!D81</f>
        <v>0.025</v>
      </c>
      <c r="C16" s="348" t="n">
        <v>708.1</v>
      </c>
      <c r="D16" s="349"/>
      <c r="E16" s="349" t="n">
        <f aca="false">($E$19*30/40)*(1-H16/$H$19)</f>
        <v>600</v>
      </c>
      <c r="F16" s="349"/>
      <c r="G16" s="349"/>
      <c r="H16" s="349"/>
      <c r="I16" s="349"/>
      <c r="J16" s="349"/>
      <c r="K16" s="349"/>
      <c r="L16" s="349"/>
      <c r="M16" s="349"/>
      <c r="N16" s="350"/>
      <c r="O16" s="351" t="n">
        <f aca="false">D16/$D$19+E16/$E$19+F16/$F$19+G16/$G$19+H16/$H$19+I16/$I$19+J16/$J$19+K16/$K$19+M16/$M$19*16*1/188.76+N16/$N$19*16*1/188.76</f>
        <v>0.75</v>
      </c>
      <c r="P16" s="352"/>
      <c r="Q16" s="353"/>
      <c r="R16" s="354" t="n">
        <v>1</v>
      </c>
      <c r="S16" s="354"/>
      <c r="T16" s="355"/>
      <c r="U16" s="356"/>
      <c r="V16" s="357"/>
    </row>
    <row r="17" customFormat="false" ht="15" hidden="false" customHeight="false" outlineLevel="0" collapsed="false">
      <c r="A17" s="359" t="s">
        <v>90</v>
      </c>
      <c r="B17" s="360" t="n">
        <f aca="false">MC!D82</f>
        <v>0.035</v>
      </c>
      <c r="C17" s="361" t="n">
        <v>287.05</v>
      </c>
      <c r="D17" s="349"/>
      <c r="E17" s="362" t="n">
        <f aca="false">($E$19*30/40)*(1-H17/$H$19)</f>
        <v>600</v>
      </c>
      <c r="F17" s="363"/>
      <c r="G17" s="363"/>
      <c r="H17" s="363"/>
      <c r="I17" s="363"/>
      <c r="J17" s="363"/>
      <c r="K17" s="349"/>
      <c r="L17" s="363"/>
      <c r="M17" s="363"/>
      <c r="N17" s="364"/>
      <c r="O17" s="351" t="n">
        <f aca="false">D17/$D$19+E17/$E$19+F17/$F$19+G17/$G$19+H17/$H$19+I17/$I$19+J17/$J$19+K17/$K$19+M17/$M$19*16*1/188.76+N17/$N$19*16*1/188.76</f>
        <v>0.75</v>
      </c>
      <c r="P17" s="365"/>
      <c r="Q17" s="366"/>
      <c r="R17" s="367" t="n">
        <v>1</v>
      </c>
      <c r="S17" s="368"/>
      <c r="T17" s="369"/>
      <c r="U17" s="370"/>
      <c r="V17" s="357"/>
    </row>
    <row r="18" customFormat="false" ht="15" hidden="false" customHeight="false" outlineLevel="0" collapsed="false">
      <c r="A18" s="371" t="s">
        <v>345</v>
      </c>
      <c r="B18" s="371"/>
      <c r="C18" s="371"/>
      <c r="D18" s="372" t="n">
        <f aca="false">SUM(D4:D17)</f>
        <v>477.23</v>
      </c>
      <c r="E18" s="373" t="n">
        <f aca="false">SUM(E4:E17)</f>
        <v>8305.8</v>
      </c>
      <c r="F18" s="373" t="n">
        <f aca="false">SUM(F4:F17)</f>
        <v>2812.43</v>
      </c>
      <c r="G18" s="373" t="n">
        <f aca="false">SUM(G4:G17)</f>
        <v>373.07</v>
      </c>
      <c r="H18" s="373" t="n">
        <f aca="false">SUM(H4:H17)</f>
        <v>423.55</v>
      </c>
      <c r="I18" s="373" t="n">
        <f aca="false">SUM(I4:I17)</f>
        <v>1784.13</v>
      </c>
      <c r="J18" s="373" t="n">
        <f aca="false">SUM(J4:J17)</f>
        <v>0</v>
      </c>
      <c r="K18" s="373" t="n">
        <f aca="false">SUM(K4:K17)</f>
        <v>7514.85</v>
      </c>
      <c r="L18" s="373" t="n">
        <f aca="false">SUM(L4:L17)</f>
        <v>0</v>
      </c>
      <c r="M18" s="373" t="n">
        <f aca="false">SUM(M4:M17)</f>
        <v>807.7</v>
      </c>
      <c r="N18" s="374" t="n">
        <f aca="false">SUM(N4:N17)</f>
        <v>2739.97</v>
      </c>
      <c r="O18" s="375" t="n">
        <f aca="false">SUM(O4:O17)</f>
        <v>18.3795710364874</v>
      </c>
      <c r="P18" s="376" t="n">
        <f aca="false">SUM(P4:P17)</f>
        <v>5</v>
      </c>
      <c r="Q18" s="377" t="n">
        <f aca="false">SUM(Q4:Q17)</f>
        <v>1</v>
      </c>
      <c r="R18" s="377" t="n">
        <f aca="false">SUM(R4:R17)</f>
        <v>9</v>
      </c>
      <c r="S18" s="377" t="n">
        <f aca="false">SUM(S4:S17)</f>
        <v>7</v>
      </c>
      <c r="T18" s="378" t="n">
        <f aca="false">SUM(T4:T17)</f>
        <v>3</v>
      </c>
      <c r="U18" s="379" t="n">
        <f aca="false">SUM(U4:U17)</f>
        <v>7</v>
      </c>
      <c r="V18" s="380" t="n">
        <f aca="false">SUM(V4:V17)</f>
        <v>1</v>
      </c>
      <c r="ALL18" s="270"/>
      <c r="ALM18" s="270"/>
      <c r="ALN18" s="270"/>
      <c r="ALO18" s="270"/>
    </row>
    <row r="19" customFormat="false" ht="15.75" hidden="false" customHeight="false" outlineLevel="0" collapsed="false">
      <c r="A19" s="381" t="s">
        <v>346</v>
      </c>
      <c r="B19" s="381"/>
      <c r="C19" s="381"/>
      <c r="D19" s="382" t="n">
        <v>800</v>
      </c>
      <c r="E19" s="382" t="n">
        <v>800</v>
      </c>
      <c r="F19" s="383" t="n">
        <v>1500</v>
      </c>
      <c r="G19" s="383" t="n">
        <v>1000</v>
      </c>
      <c r="H19" s="383" t="n">
        <v>200</v>
      </c>
      <c r="I19" s="383" t="n">
        <v>1800</v>
      </c>
      <c r="J19" s="383" t="n">
        <v>2700</v>
      </c>
      <c r="K19" s="383" t="n">
        <v>6000</v>
      </c>
      <c r="L19" s="383" t="n">
        <v>160</v>
      </c>
      <c r="M19" s="383" t="n">
        <v>380</v>
      </c>
      <c r="N19" s="384" t="n">
        <v>380</v>
      </c>
      <c r="O19" s="385"/>
      <c r="P19" s="386" t="s">
        <v>347</v>
      </c>
      <c r="Q19" s="387" t="n">
        <f aca="false">P18+Q18+R18+S18</f>
        <v>22</v>
      </c>
      <c r="R19" s="388"/>
      <c r="S19" s="388"/>
      <c r="T19" s="386" t="s">
        <v>347</v>
      </c>
      <c r="U19" s="389" t="n">
        <f aca="false">T18+U18</f>
        <v>10</v>
      </c>
      <c r="V19" s="296"/>
      <c r="W19" s="296"/>
      <c r="ALP19" s="297"/>
    </row>
    <row r="20" customFormat="false" ht="15" hidden="false" customHeight="false" outlineLevel="0" collapsed="false">
      <c r="A20" s="390" t="s">
        <v>348</v>
      </c>
      <c r="B20" s="390"/>
      <c r="C20" s="390"/>
      <c r="D20" s="391" t="n">
        <f aca="false">D18/D19</f>
        <v>0.5965375</v>
      </c>
      <c r="E20" s="391" t="n">
        <f aca="false">E18/E19</f>
        <v>10.38225</v>
      </c>
      <c r="F20" s="392" t="n">
        <f aca="false">F18/F19</f>
        <v>1.87495333333333</v>
      </c>
      <c r="G20" s="392" t="n">
        <f aca="false">G18/G19</f>
        <v>0.37307</v>
      </c>
      <c r="H20" s="392" t="n">
        <f aca="false">H18/H19</f>
        <v>2.11775</v>
      </c>
      <c r="I20" s="392" t="n">
        <f aca="false">I18/I19</f>
        <v>0.991183333333333</v>
      </c>
      <c r="J20" s="392" t="n">
        <f aca="false">J18/J19</f>
        <v>0</v>
      </c>
      <c r="K20" s="392" t="n">
        <f aca="false">K18/K19</f>
        <v>1.252475</v>
      </c>
      <c r="L20" s="392" t="n">
        <f aca="false">1/L19*8*1/1132.6*L18</f>
        <v>0</v>
      </c>
      <c r="M20" s="392" t="n">
        <f aca="false">1/M19*16*1/188.76*M18</f>
        <v>0.180167519880439</v>
      </c>
      <c r="N20" s="393" t="n">
        <f aca="false">1/N19*16*1/188.76*N18</f>
        <v>0.611184349940331</v>
      </c>
      <c r="O20" s="394" t="n">
        <f aca="false">SUM(D20:N20)-L20</f>
        <v>18.3795710364874</v>
      </c>
      <c r="P20" s="386" t="s">
        <v>349</v>
      </c>
      <c r="Q20" s="389" t="n">
        <f aca="false">P18+Q18+(R18*0.75)+(S18*0.75)</f>
        <v>18</v>
      </c>
      <c r="R20" s="296"/>
      <c r="S20" s="296"/>
      <c r="T20" s="395"/>
      <c r="U20" s="395"/>
      <c r="V20" s="296"/>
      <c r="W20" s="296"/>
      <c r="X20" s="296"/>
      <c r="Y20" s="296"/>
      <c r="Z20" s="296"/>
      <c r="ALS20" s="297"/>
    </row>
    <row r="21" customFormat="false" ht="15.75" hidden="false" customHeight="false" outlineLevel="0" collapsed="false">
      <c r="A21" s="396" t="s">
        <v>350</v>
      </c>
      <c r="B21" s="396"/>
      <c r="C21" s="396"/>
      <c r="D21" s="397" t="n">
        <f aca="false">D18/($O20*D19)</f>
        <v>0.032456551832235</v>
      </c>
      <c r="E21" s="397" t="n">
        <f aca="false">E18/($O20*E19)</f>
        <v>0.564879886445064</v>
      </c>
      <c r="F21" s="398" t="n">
        <f aca="false">F18/($O20*F19)</f>
        <v>0.102012899518228</v>
      </c>
      <c r="G21" s="398" t="n">
        <f aca="false">G18/($O20*G19)</f>
        <v>0.0202980798223949</v>
      </c>
      <c r="H21" s="398" t="n">
        <f aca="false">H18/($O20*H19)</f>
        <v>0.115223037349229</v>
      </c>
      <c r="I21" s="398" t="n">
        <f aca="false">I18/($O20*I19)</f>
        <v>0.0539285346412938</v>
      </c>
      <c r="J21" s="398" t="n">
        <f aca="false">J18/($O20*J19)</f>
        <v>0</v>
      </c>
      <c r="K21" s="398" t="n">
        <f aca="false">K18/($O20*K19)</f>
        <v>0.0681449527583405</v>
      </c>
      <c r="L21" s="398" t="n">
        <f aca="false">1/$O20*1/L19*16*1/188.76*L18</f>
        <v>0</v>
      </c>
      <c r="M21" s="398" t="n">
        <f aca="false">1/$O20*1/M19*16*1/188.76*M18</f>
        <v>0.00980259656347621</v>
      </c>
      <c r="N21" s="398" t="n">
        <f aca="false">1/$O20*1/N19*16*1/188.76*N18</f>
        <v>0.0332534610697386</v>
      </c>
      <c r="O21" s="399" t="n">
        <f aca="false">SUM(D21:N21)</f>
        <v>1</v>
      </c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7"/>
      <c r="ALS21" s="297"/>
    </row>
    <row r="22" customFormat="false" ht="15" hidden="true" customHeight="false" outlineLevel="0" collapsed="false">
      <c r="A22" s="400" t="s">
        <v>351</v>
      </c>
      <c r="B22" s="400"/>
      <c r="C22" s="400"/>
      <c r="D22" s="401" t="n">
        <f aca="false">ROUND(1/D19,9)</f>
        <v>0.00125</v>
      </c>
      <c r="E22" s="401"/>
      <c r="F22" s="402" t="n">
        <f aca="false">ROUND(1/F19,9)</f>
        <v>0.000666667</v>
      </c>
      <c r="G22" s="402" t="n">
        <f aca="false">ROUND(1/G19,9)</f>
        <v>0.001</v>
      </c>
      <c r="H22" s="402" t="n">
        <f aca="false">ROUND(1/H19,9)</f>
        <v>0.005</v>
      </c>
      <c r="I22" s="402" t="n">
        <f aca="false">ROUND(1/I19,9)</f>
        <v>0.000555556</v>
      </c>
      <c r="J22" s="402" t="n">
        <f aca="false">ROUND(1/J19,9)</f>
        <v>0.00037037</v>
      </c>
      <c r="K22" s="402" t="n">
        <f aca="false">ROUND(1/K19,9)</f>
        <v>0.000166667</v>
      </c>
      <c r="L22" s="403" t="n">
        <f aca="false">(1/L19)*(1/N27)*8</f>
        <v>4.86111111111111E-005</v>
      </c>
      <c r="M22" s="403" t="n">
        <f aca="false">(1/M19)*(1/N26)*16</f>
        <v>0.000245614035087719</v>
      </c>
      <c r="N22" s="404" t="n">
        <f aca="false">(1/N19)*(1/N26)*16</f>
        <v>0.000245614035087719</v>
      </c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LS22" s="297"/>
    </row>
    <row r="23" customFormat="false" ht="15" hidden="true" customHeight="false" outlineLevel="0" collapsed="false">
      <c r="A23" s="405" t="s">
        <v>352</v>
      </c>
      <c r="B23" s="405"/>
      <c r="C23" s="405"/>
      <c r="D23" s="406" t="n">
        <f aca="false">D22/$V$18</f>
        <v>0.00125</v>
      </c>
      <c r="E23" s="406"/>
      <c r="F23" s="407" t="n">
        <f aca="false">F22/$V$18</f>
        <v>0.000666667</v>
      </c>
      <c r="G23" s="407" t="n">
        <f aca="false">G22/$V$18</f>
        <v>0.001</v>
      </c>
      <c r="H23" s="407" t="n">
        <f aca="false">H22/$V$18</f>
        <v>0.005</v>
      </c>
      <c r="I23" s="407" t="n">
        <f aca="false">I22/$V$18</f>
        <v>0.000555556</v>
      </c>
      <c r="J23" s="407" t="n">
        <f aca="false">J22/$V$18</f>
        <v>0.00037037</v>
      </c>
      <c r="K23" s="407" t="n">
        <f aca="false">K22/$V$18</f>
        <v>0.000166667</v>
      </c>
      <c r="L23" s="408" t="n">
        <f aca="false">L22/$V$18</f>
        <v>4.86111111111111E-005</v>
      </c>
      <c r="M23" s="408" t="n">
        <f aca="false">M22/$V$18</f>
        <v>0.000245614035087719</v>
      </c>
      <c r="N23" s="409" t="n">
        <f aca="false">N22/$V$18</f>
        <v>0.000245614035087719</v>
      </c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LS23" s="297"/>
    </row>
    <row r="24" customFormat="false" ht="15.75" hidden="false" customHeight="false" outlineLevel="0" collapsed="false">
      <c r="A24" s="410" t="s">
        <v>353</v>
      </c>
      <c r="B24" s="410"/>
      <c r="C24" s="410"/>
      <c r="D24" s="411" t="s">
        <v>354</v>
      </c>
      <c r="E24" s="411" t="s">
        <v>354</v>
      </c>
      <c r="F24" s="412" t="s">
        <v>355</v>
      </c>
      <c r="G24" s="412" t="s">
        <v>356</v>
      </c>
      <c r="H24" s="412" t="s">
        <v>357</v>
      </c>
      <c r="I24" s="413" t="s">
        <v>358</v>
      </c>
      <c r="J24" s="413" t="s">
        <v>358</v>
      </c>
      <c r="K24" s="413" t="s">
        <v>359</v>
      </c>
      <c r="L24" s="414" t="s">
        <v>360</v>
      </c>
      <c r="M24" s="414" t="s">
        <v>361</v>
      </c>
      <c r="N24" s="415" t="s">
        <v>361</v>
      </c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LS24" s="297"/>
    </row>
    <row r="25" customFormat="false" ht="15" hidden="true" customHeight="false" outlineLevel="0" collapsed="false">
      <c r="A25" s="297"/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297"/>
      <c r="ALP25" s="270"/>
      <c r="ALQ25" s="270"/>
      <c r="ALR25" s="270"/>
      <c r="ALS25" s="270"/>
    </row>
    <row r="26" customFormat="false" ht="15" hidden="true" customHeight="false" outlineLevel="0" collapsed="false">
      <c r="A26" s="297"/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416" t="n">
        <f aca="false">30/7</f>
        <v>4.28571428571429</v>
      </c>
      <c r="M26" s="416" t="n">
        <v>40</v>
      </c>
      <c r="N26" s="416" t="n">
        <f aca="false">L26*M26</f>
        <v>171.428571428571</v>
      </c>
      <c r="O26" s="416"/>
      <c r="P26" s="416"/>
      <c r="Q26" s="416"/>
      <c r="R26" s="416"/>
      <c r="S26" s="416"/>
      <c r="T26" s="416"/>
      <c r="U26" s="416"/>
      <c r="V26" s="416"/>
      <c r="W26" s="416"/>
      <c r="X26" s="416"/>
      <c r="Y26" s="416"/>
      <c r="Z26" s="416"/>
      <c r="ALP26" s="270"/>
      <c r="ALQ26" s="270"/>
      <c r="ALR26" s="270"/>
      <c r="ALS26" s="270"/>
    </row>
    <row r="27" customFormat="false" ht="15" hidden="true" customHeight="false" outlineLevel="0" collapsed="false">
      <c r="A27" s="297"/>
      <c r="B27" s="297"/>
      <c r="C27" s="297"/>
      <c r="D27" s="297"/>
      <c r="E27" s="297"/>
      <c r="F27" s="297"/>
      <c r="G27" s="297"/>
      <c r="H27" s="297"/>
      <c r="I27" s="297"/>
      <c r="J27" s="297"/>
      <c r="K27" s="297"/>
      <c r="L27" s="416"/>
      <c r="M27" s="416"/>
      <c r="N27" s="416" t="n">
        <f aca="false">N26*6</f>
        <v>1028.57142857143</v>
      </c>
      <c r="O27" s="416" t="s">
        <v>362</v>
      </c>
      <c r="P27" s="416"/>
      <c r="Q27" s="416"/>
      <c r="R27" s="416"/>
      <c r="S27" s="416"/>
      <c r="T27" s="416"/>
      <c r="U27" s="416"/>
      <c r="V27" s="416"/>
      <c r="W27" s="416"/>
      <c r="X27" s="416"/>
      <c r="Y27" s="416"/>
      <c r="Z27" s="416"/>
      <c r="ALP27" s="270"/>
      <c r="ALQ27" s="270"/>
      <c r="ALR27" s="270"/>
      <c r="ALS27" s="270"/>
    </row>
    <row r="178" customFormat="false" ht="14.25" hidden="false" customHeight="false" outlineLevel="0" collapsed="false">
      <c r="D178" s="0" t="e">
        <f aca="false">(1/#REF!)*(1/(#REF!))*8</f>
        <v>#REF!</v>
      </c>
    </row>
  </sheetData>
  <mergeCells count="21">
    <mergeCell ref="C1:H1"/>
    <mergeCell ref="I1:K1"/>
    <mergeCell ref="L1:N1"/>
    <mergeCell ref="W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S2"/>
    <mergeCell ref="T2:U2"/>
  </mergeCells>
  <printOptions headings="false" gridLines="false" gridLinesSet="true" horizontalCentered="false" verticalCentered="false"/>
  <pageMargins left="0" right="0" top="0.39375" bottom="0.39375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ACFD6"/>
    <pageSetUpPr fitToPage="false"/>
  </sheetPr>
  <dimension ref="A1:AF1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2" topLeftCell="B73" activePane="bottomRight" state="frozen"/>
      <selection pane="topLeft" activeCell="A1" activeCellId="0" sqref="A1"/>
      <selection pane="topRight" activeCell="B1" activeCellId="0" sqref="B1"/>
      <selection pane="bottomLeft" activeCell="A73" activeCellId="0" sqref="A73"/>
      <selection pane="bottomRight" activeCell="H214" activeCellId="0" sqref="H214"/>
    </sheetView>
  </sheetViews>
  <sheetFormatPr defaultRowHeight="14.25" zeroHeight="false" outlineLevelRow="0" outlineLevelCol="0"/>
  <cols>
    <col collapsed="false" customWidth="true" hidden="false" outlineLevel="0" max="1" min="1" style="416" width="58.13"/>
    <col collapsed="false" customWidth="true" hidden="false" outlineLevel="0" max="2" min="2" style="416" width="16.25"/>
    <col collapsed="false" customWidth="true" hidden="false" outlineLevel="0" max="12" min="3" style="416" width="14"/>
    <col collapsed="false" customWidth="true" hidden="false" outlineLevel="0" max="13" min="13" style="416" width="15.13"/>
    <col collapsed="false" customWidth="true" hidden="false" outlineLevel="0" max="14" min="14" style="416" width="10.5"/>
    <col collapsed="false" customWidth="true" hidden="false" outlineLevel="0" max="15" min="15" style="416" width="14.25"/>
    <col collapsed="false" customWidth="true" hidden="false" outlineLevel="0" max="1025" min="16" style="416" width="10.5"/>
  </cols>
  <sheetData>
    <row r="1" customFormat="false" ht="15.75" hidden="false" customHeight="false" outlineLevel="0" collapsed="false">
      <c r="A1" s="417" t="s">
        <v>363</v>
      </c>
      <c r="B1" s="417"/>
      <c r="C1" s="417"/>
      <c r="D1" s="417"/>
      <c r="E1" s="417"/>
      <c r="F1" s="417"/>
      <c r="G1" s="417"/>
    </row>
    <row r="2" customFormat="false" ht="15.75" hidden="false" customHeight="false" outlineLevel="0" collapsed="false">
      <c r="A2" s="418" t="s">
        <v>364</v>
      </c>
      <c r="B2" s="418"/>
      <c r="C2" s="418"/>
      <c r="D2" s="418"/>
      <c r="E2" s="418"/>
      <c r="F2" s="418"/>
      <c r="G2" s="418"/>
    </row>
    <row r="3" customFormat="false" ht="15.75" hidden="false" customHeight="true" outlineLevel="0" collapsed="false">
      <c r="A3" s="418" t="s">
        <v>365</v>
      </c>
      <c r="B3" s="418"/>
      <c r="C3" s="418"/>
      <c r="D3" s="418"/>
      <c r="E3" s="418"/>
      <c r="F3" s="418"/>
      <c r="G3" s="418"/>
    </row>
    <row r="4" customFormat="false" ht="15.75" hidden="false" customHeight="false" outlineLevel="0" collapsed="false">
      <c r="A4" s="419"/>
      <c r="B4" s="420"/>
      <c r="C4" s="421" t="s">
        <v>366</v>
      </c>
      <c r="D4" s="421"/>
      <c r="E4" s="422" t="s">
        <v>367</v>
      </c>
      <c r="F4" s="422"/>
      <c r="G4" s="423" t="s">
        <v>368</v>
      </c>
    </row>
    <row r="5" customFormat="false" ht="14.25" hidden="false" customHeight="false" outlineLevel="0" collapsed="false">
      <c r="A5" s="424"/>
      <c r="B5" s="425" t="s">
        <v>369</v>
      </c>
      <c r="C5" s="426" t="n">
        <f aca="false">MC!D11</f>
        <v>1194.62727272727</v>
      </c>
      <c r="D5" s="426"/>
      <c r="E5" s="426" t="n">
        <f aca="false">MC!E11</f>
        <v>895.970454545454</v>
      </c>
      <c r="F5" s="426"/>
      <c r="G5" s="427" t="n">
        <f aca="false">MC!D12</f>
        <v>1673.91173454545</v>
      </c>
    </row>
    <row r="6" customFormat="false" ht="14.25" hidden="false" customHeight="false" outlineLevel="0" collapsed="false">
      <c r="A6" s="424"/>
      <c r="B6" s="425" t="s">
        <v>370</v>
      </c>
      <c r="C6" s="428" t="n">
        <f aca="false">MC!E8</f>
        <v>44562</v>
      </c>
      <c r="D6" s="428"/>
      <c r="E6" s="428" t="n">
        <f aca="false">C6</f>
        <v>44562</v>
      </c>
      <c r="F6" s="428"/>
      <c r="G6" s="429" t="n">
        <f aca="false">C6</f>
        <v>44562</v>
      </c>
    </row>
    <row r="7" customFormat="false" ht="14.25" hidden="false" customHeight="false" outlineLevel="0" collapsed="false">
      <c r="A7" s="424"/>
      <c r="B7" s="425" t="s">
        <v>371</v>
      </c>
      <c r="C7" s="428" t="str">
        <f aca="false">MC!C8</f>
        <v>RS000052/2022</v>
      </c>
      <c r="D7" s="428"/>
      <c r="E7" s="428" t="str">
        <f aca="false">C7</f>
        <v>RS000052/2022</v>
      </c>
      <c r="F7" s="428"/>
      <c r="G7" s="429" t="str">
        <f aca="false">C7</f>
        <v>RS000052/2022</v>
      </c>
    </row>
    <row r="8" customFormat="false" ht="15" hidden="false" customHeight="false" outlineLevel="0" collapsed="false">
      <c r="A8" s="424"/>
      <c r="B8" s="425" t="s">
        <v>372</v>
      </c>
      <c r="C8" s="430" t="str">
        <f aca="false">MC!F8</f>
        <v>5143-20</v>
      </c>
      <c r="D8" s="430"/>
      <c r="E8" s="431" t="str">
        <f aca="false">C8</f>
        <v>5143-20</v>
      </c>
      <c r="F8" s="431"/>
      <c r="G8" s="432" t="str">
        <f aca="false">C8</f>
        <v>5143-20</v>
      </c>
    </row>
    <row r="9" customFormat="false" ht="15" hidden="false" customHeight="false" outlineLevel="0" collapsed="false">
      <c r="A9" s="433"/>
      <c r="B9" s="433"/>
      <c r="C9" s="433"/>
      <c r="D9" s="433"/>
      <c r="E9" s="433"/>
      <c r="F9" s="433"/>
      <c r="G9" s="433"/>
    </row>
    <row r="10" customFormat="false" ht="56.1" hidden="false" customHeight="true" outlineLevel="0" collapsed="false">
      <c r="A10" s="434" t="s">
        <v>373</v>
      </c>
      <c r="B10" s="435" t="s">
        <v>374</v>
      </c>
      <c r="C10" s="436" t="s">
        <v>375</v>
      </c>
      <c r="D10" s="437" t="s">
        <v>376</v>
      </c>
      <c r="E10" s="437" t="s">
        <v>377</v>
      </c>
      <c r="F10" s="437" t="s">
        <v>378</v>
      </c>
      <c r="G10" s="438" t="s">
        <v>379</v>
      </c>
    </row>
    <row r="11" customFormat="false" ht="14.25" hidden="false" customHeight="true" outlineLevel="0" collapsed="false">
      <c r="A11" s="439" t="s">
        <v>380</v>
      </c>
      <c r="B11" s="439"/>
      <c r="C11" s="439"/>
      <c r="D11" s="439"/>
      <c r="E11" s="439"/>
      <c r="F11" s="439"/>
      <c r="G11" s="439"/>
    </row>
    <row r="12" customFormat="false" ht="15.75" hidden="false" customHeight="true" outlineLevel="0" collapsed="false">
      <c r="A12" s="440" t="s">
        <v>381</v>
      </c>
      <c r="B12" s="441" t="s">
        <v>382</v>
      </c>
      <c r="C12" s="441" t="s">
        <v>383</v>
      </c>
      <c r="D12" s="441" t="s">
        <v>383</v>
      </c>
      <c r="E12" s="441" t="s">
        <v>383</v>
      </c>
      <c r="F12" s="441" t="s">
        <v>383</v>
      </c>
      <c r="G12" s="442" t="s">
        <v>383</v>
      </c>
    </row>
    <row r="13" customFormat="false" ht="15.75" hidden="false" customHeight="true" outlineLevel="0" collapsed="false">
      <c r="A13" s="443" t="s">
        <v>384</v>
      </c>
      <c r="B13" s="444"/>
      <c r="C13" s="445" t="n">
        <f aca="false">C5</f>
        <v>1194.62727272727</v>
      </c>
      <c r="D13" s="445" t="n">
        <f aca="false">C5</f>
        <v>1194.62727272727</v>
      </c>
      <c r="E13" s="446" t="n">
        <f aca="false">E5</f>
        <v>895.970454545454</v>
      </c>
      <c r="F13" s="446" t="n">
        <f aca="false">E5</f>
        <v>895.970454545454</v>
      </c>
      <c r="G13" s="447" t="n">
        <f aca="false">G5</f>
        <v>1673.91173454545</v>
      </c>
    </row>
    <row r="14" customFormat="false" ht="15.75" hidden="false" customHeight="true" outlineLevel="0" collapsed="false">
      <c r="A14" s="443" t="s">
        <v>385</v>
      </c>
      <c r="B14" s="448" t="s">
        <v>386</v>
      </c>
      <c r="C14" s="445" t="n">
        <f aca="false">C13*0.4</f>
        <v>477.850909090909</v>
      </c>
      <c r="D14" s="445" t="n">
        <f aca="false">C13*0.2</f>
        <v>238.925454545455</v>
      </c>
      <c r="E14" s="445" t="n">
        <f aca="false">E13*0.4</f>
        <v>358.388181818182</v>
      </c>
      <c r="F14" s="445" t="n">
        <f aca="false">E13*0.2</f>
        <v>179.194090909091</v>
      </c>
      <c r="G14" s="449" t="s">
        <v>387</v>
      </c>
    </row>
    <row r="15" customFormat="false" ht="15.75" hidden="false" customHeight="true" outlineLevel="0" collapsed="false">
      <c r="A15" s="443" t="s">
        <v>388</v>
      </c>
      <c r="B15" s="450"/>
      <c r="C15" s="451" t="s">
        <v>387</v>
      </c>
      <c r="D15" s="451" t="s">
        <v>387</v>
      </c>
      <c r="E15" s="452" t="s">
        <v>387</v>
      </c>
      <c r="F15" s="452" t="s">
        <v>387</v>
      </c>
      <c r="G15" s="449" t="s">
        <v>387</v>
      </c>
    </row>
    <row r="16" customFormat="false" ht="15.75" hidden="false" customHeight="true" outlineLevel="0" collapsed="false">
      <c r="A16" s="443" t="s">
        <v>389</v>
      </c>
      <c r="B16" s="450"/>
      <c r="C16" s="451" t="s">
        <v>387</v>
      </c>
      <c r="D16" s="451" t="s">
        <v>387</v>
      </c>
      <c r="E16" s="452" t="s">
        <v>387</v>
      </c>
      <c r="F16" s="452" t="s">
        <v>387</v>
      </c>
      <c r="G16" s="449" t="s">
        <v>387</v>
      </c>
    </row>
    <row r="17" customFormat="false" ht="15.75" hidden="false" customHeight="true" outlineLevel="0" collapsed="false">
      <c r="A17" s="443" t="s">
        <v>390</v>
      </c>
      <c r="B17" s="450"/>
      <c r="C17" s="451" t="s">
        <v>387</v>
      </c>
      <c r="D17" s="451" t="s">
        <v>387</v>
      </c>
      <c r="E17" s="452" t="s">
        <v>387</v>
      </c>
      <c r="F17" s="452" t="s">
        <v>387</v>
      </c>
      <c r="G17" s="449" t="s">
        <v>387</v>
      </c>
    </row>
    <row r="18" customFormat="false" ht="15.75" hidden="false" customHeight="true" outlineLevel="0" collapsed="false">
      <c r="A18" s="443" t="s">
        <v>391</v>
      </c>
      <c r="B18" s="453"/>
      <c r="C18" s="451" t="s">
        <v>387</v>
      </c>
      <c r="D18" s="451" t="s">
        <v>387</v>
      </c>
      <c r="E18" s="451" t="s">
        <v>387</v>
      </c>
      <c r="F18" s="451" t="s">
        <v>387</v>
      </c>
      <c r="G18" s="449" t="s">
        <v>387</v>
      </c>
    </row>
    <row r="19" customFormat="false" ht="15.75" hidden="false" customHeight="true" outlineLevel="0" collapsed="false">
      <c r="A19" s="454" t="s">
        <v>392</v>
      </c>
      <c r="B19" s="455"/>
      <c r="C19" s="456" t="n">
        <f aca="false">SUM(C13:C18)</f>
        <v>1672.47818181818</v>
      </c>
      <c r="D19" s="457" t="n">
        <f aca="false">SUM(D13:D18)</f>
        <v>1433.55272727273</v>
      </c>
      <c r="E19" s="457" t="n">
        <f aca="false">SUM(E13:E18)</f>
        <v>1254.35863636364</v>
      </c>
      <c r="F19" s="457" t="n">
        <f aca="false">SUM(F13:F18)</f>
        <v>1075.16454545455</v>
      </c>
      <c r="G19" s="458" t="n">
        <f aca="false">SUM(G13:G18)</f>
        <v>1673.91173454545</v>
      </c>
    </row>
    <row r="20" customFormat="false" ht="15.75" hidden="false" customHeight="true" outlineLevel="0" collapsed="false">
      <c r="A20" s="459"/>
      <c r="B20" s="459"/>
      <c r="C20" s="459"/>
      <c r="D20" s="459"/>
      <c r="E20" s="459"/>
      <c r="F20" s="459"/>
      <c r="G20" s="459"/>
    </row>
    <row r="21" customFormat="false" ht="14.25" hidden="false" customHeight="true" outlineLevel="0" collapsed="false">
      <c r="A21" s="439" t="s">
        <v>393</v>
      </c>
      <c r="B21" s="439"/>
      <c r="C21" s="439"/>
      <c r="D21" s="439"/>
      <c r="E21" s="439"/>
      <c r="F21" s="439"/>
      <c r="G21" s="439"/>
    </row>
    <row r="22" customFormat="false" ht="28.35" hidden="false" customHeight="true" outlineLevel="0" collapsed="false">
      <c r="A22" s="460" t="s">
        <v>394</v>
      </c>
      <c r="B22" s="461" t="s">
        <v>382</v>
      </c>
      <c r="C22" s="461" t="s">
        <v>383</v>
      </c>
      <c r="D22" s="461" t="s">
        <v>383</v>
      </c>
      <c r="E22" s="461" t="s">
        <v>383</v>
      </c>
      <c r="F22" s="461" t="s">
        <v>383</v>
      </c>
      <c r="G22" s="462" t="s">
        <v>383</v>
      </c>
    </row>
    <row r="23" customFormat="false" ht="15.75" hidden="false" customHeight="true" outlineLevel="0" collapsed="false">
      <c r="A23" s="463" t="s">
        <v>395</v>
      </c>
      <c r="B23" s="464" t="n">
        <f aca="false">1/12</f>
        <v>0.0833333333333333</v>
      </c>
      <c r="C23" s="445" t="n">
        <f aca="false">ROUND($B23*C$19,2)</f>
        <v>139.37</v>
      </c>
      <c r="D23" s="445" t="n">
        <f aca="false">ROUND($B23*D$19,2)</f>
        <v>119.46</v>
      </c>
      <c r="E23" s="445" t="n">
        <f aca="false">ROUND($B23*E$19,2)</f>
        <v>104.53</v>
      </c>
      <c r="F23" s="445" t="n">
        <f aca="false">ROUND($B23*F$19,2)</f>
        <v>89.6</v>
      </c>
      <c r="G23" s="447" t="n">
        <f aca="false">ROUND($B23*G$19,2)</f>
        <v>139.49</v>
      </c>
    </row>
    <row r="24" customFormat="false" ht="14.25" hidden="false" customHeight="false" outlineLevel="0" collapsed="false">
      <c r="A24" s="463" t="s">
        <v>396</v>
      </c>
      <c r="B24" s="464" t="n">
        <f aca="false">1/3*1/12</f>
        <v>0.0277777777777778</v>
      </c>
      <c r="C24" s="445" t="n">
        <f aca="false">C$19*$B$24</f>
        <v>46.4577272727273</v>
      </c>
      <c r="D24" s="445" t="n">
        <f aca="false">D$19*$B$24</f>
        <v>39.8209090909091</v>
      </c>
      <c r="E24" s="445" t="n">
        <f aca="false">E$19*$B$24</f>
        <v>34.8432954545455</v>
      </c>
      <c r="F24" s="445" t="n">
        <f aca="false">F$19*$B$24</f>
        <v>29.8656818181818</v>
      </c>
      <c r="G24" s="447" t="n">
        <f aca="false">G$19*$B$24</f>
        <v>46.4975481818182</v>
      </c>
    </row>
    <row r="25" customFormat="false" ht="14.25" hidden="false" customHeight="true" outlineLevel="0" collapsed="false">
      <c r="A25" s="454" t="s">
        <v>392</v>
      </c>
      <c r="B25" s="465" t="n">
        <f aca="false">SUM(B23:B24)</f>
        <v>0.111111111111111</v>
      </c>
      <c r="C25" s="466" t="n">
        <f aca="false">SUM(C23:C24)</f>
        <v>185.827727272727</v>
      </c>
      <c r="D25" s="466" t="n">
        <f aca="false">SUM(D23:D24)</f>
        <v>159.280909090909</v>
      </c>
      <c r="E25" s="466" t="n">
        <f aca="false">SUM(E23:E24)</f>
        <v>139.373295454545</v>
      </c>
      <c r="F25" s="466" t="n">
        <f aca="false">SUM(F23:F24)</f>
        <v>119.465681818182</v>
      </c>
      <c r="G25" s="467" t="n">
        <f aca="false">SUM(G23:G24)</f>
        <v>185.987548181818</v>
      </c>
    </row>
    <row r="26" customFormat="false" ht="14.25" hidden="false" customHeight="false" outlineLevel="0" collapsed="false">
      <c r="A26" s="460" t="s">
        <v>397</v>
      </c>
      <c r="B26" s="461" t="s">
        <v>382</v>
      </c>
      <c r="C26" s="461" t="s">
        <v>383</v>
      </c>
      <c r="D26" s="461" t="s">
        <v>383</v>
      </c>
      <c r="E26" s="461" t="s">
        <v>383</v>
      </c>
      <c r="F26" s="461" t="s">
        <v>383</v>
      </c>
      <c r="G26" s="462" t="s">
        <v>383</v>
      </c>
    </row>
    <row r="27" customFormat="false" ht="15.75" hidden="false" customHeight="true" outlineLevel="0" collapsed="false">
      <c r="A27" s="460" t="s">
        <v>398</v>
      </c>
      <c r="B27" s="468"/>
      <c r="C27" s="468"/>
      <c r="D27" s="468"/>
      <c r="E27" s="468"/>
      <c r="F27" s="468"/>
      <c r="G27" s="469"/>
    </row>
    <row r="28" customFormat="false" ht="14.25" hidden="false" customHeight="true" outlineLevel="0" collapsed="false">
      <c r="A28" s="463" t="s">
        <v>399</v>
      </c>
      <c r="B28" s="464" t="n">
        <v>0.2</v>
      </c>
      <c r="C28" s="470" t="n">
        <f aca="false">ROUND(($C$19+$C$25)*B28,2)</f>
        <v>371.66</v>
      </c>
      <c r="D28" s="470" t="n">
        <f aca="false">ROUND((D$19+D$25)*$B28,2)</f>
        <v>318.57</v>
      </c>
      <c r="E28" s="470" t="n">
        <f aca="false">ROUND((E$19+E$25)*$B28,2)</f>
        <v>278.75</v>
      </c>
      <c r="F28" s="470" t="n">
        <f aca="false">ROUND((F$19+F$25)*$B28,2)</f>
        <v>238.93</v>
      </c>
      <c r="G28" s="471" t="n">
        <f aca="false">ROUND((G$19+G$25)*$B28,2)</f>
        <v>371.98</v>
      </c>
    </row>
    <row r="29" customFormat="false" ht="15.75" hidden="false" customHeight="true" outlineLevel="0" collapsed="false">
      <c r="A29" s="463" t="s">
        <v>400</v>
      </c>
      <c r="B29" s="464" t="n">
        <v>0.025</v>
      </c>
      <c r="C29" s="470" t="n">
        <f aca="false">ROUND((C$19+C$25)*$B29,2)</f>
        <v>46.46</v>
      </c>
      <c r="D29" s="470" t="n">
        <f aca="false">ROUND((D$19+D$25)*$B29,2)</f>
        <v>39.82</v>
      </c>
      <c r="E29" s="470" t="n">
        <f aca="false">ROUND((E$19+E$25)*$B29,2)</f>
        <v>34.84</v>
      </c>
      <c r="F29" s="470" t="n">
        <f aca="false">ROUND((F$19+F$25)*$B29,2)</f>
        <v>29.87</v>
      </c>
      <c r="G29" s="471" t="n">
        <f aca="false">ROUND((G$19+G$25)*$B29,2)</f>
        <v>46.5</v>
      </c>
    </row>
    <row r="30" customFormat="false" ht="15.75" hidden="false" customHeight="true" outlineLevel="0" collapsed="false">
      <c r="A30" s="463" t="s">
        <v>401</v>
      </c>
      <c r="B30" s="464" t="n">
        <v>0.03</v>
      </c>
      <c r="C30" s="470" t="n">
        <f aca="false">ROUND((C$19+C$25)*$B30,2)</f>
        <v>55.75</v>
      </c>
      <c r="D30" s="470" t="n">
        <f aca="false">ROUND((D$19+D$25)*$B30,2)</f>
        <v>47.79</v>
      </c>
      <c r="E30" s="470" t="n">
        <f aca="false">ROUND((E$19+E$25)*$B30,2)</f>
        <v>41.81</v>
      </c>
      <c r="F30" s="470" t="n">
        <f aca="false">ROUND((F$19+F$25)*$B30,2)</f>
        <v>35.84</v>
      </c>
      <c r="G30" s="471" t="n">
        <f aca="false">ROUND((G$19+G$25)*$B30,2)</f>
        <v>55.8</v>
      </c>
    </row>
    <row r="31" customFormat="false" ht="15.75" hidden="false" customHeight="true" outlineLevel="0" collapsed="false">
      <c r="A31" s="463" t="s">
        <v>402</v>
      </c>
      <c r="B31" s="464" t="n">
        <v>0.015</v>
      </c>
      <c r="C31" s="470" t="n">
        <f aca="false">ROUND((C$19+C$25)*$B31,2)</f>
        <v>27.87</v>
      </c>
      <c r="D31" s="470" t="n">
        <f aca="false">ROUND((D$19+D$25)*$B31,2)</f>
        <v>23.89</v>
      </c>
      <c r="E31" s="470" t="n">
        <f aca="false">ROUND((E$19+E$25)*$B31,2)</f>
        <v>20.91</v>
      </c>
      <c r="F31" s="470" t="n">
        <f aca="false">ROUND((F$19+F$25)*$B31,2)</f>
        <v>17.92</v>
      </c>
      <c r="G31" s="471" t="n">
        <f aca="false">ROUND((G$19+G$25)*$B31,2)</f>
        <v>27.9</v>
      </c>
    </row>
    <row r="32" customFormat="false" ht="15.75" hidden="false" customHeight="true" outlineLevel="0" collapsed="false">
      <c r="A32" s="463" t="s">
        <v>403</v>
      </c>
      <c r="B32" s="464" t="n">
        <v>0.01</v>
      </c>
      <c r="C32" s="470" t="n">
        <f aca="false">ROUND((C$19+C$25)*$B32,2)</f>
        <v>18.58</v>
      </c>
      <c r="D32" s="470" t="n">
        <f aca="false">ROUND((D$19+D$25)*$B32,2)</f>
        <v>15.93</v>
      </c>
      <c r="E32" s="470" t="n">
        <f aca="false">ROUND((E$19+E$25)*$B32,2)</f>
        <v>13.94</v>
      </c>
      <c r="F32" s="470" t="n">
        <f aca="false">ROUND((F$19+F$25)*$B32,2)</f>
        <v>11.95</v>
      </c>
      <c r="G32" s="471" t="n">
        <f aca="false">ROUND((G$19+G$25)*$B32,2)</f>
        <v>18.6</v>
      </c>
    </row>
    <row r="33" customFormat="false" ht="15.75" hidden="false" customHeight="true" outlineLevel="0" collapsed="false">
      <c r="A33" s="463" t="s">
        <v>404</v>
      </c>
      <c r="B33" s="464" t="n">
        <v>0.006</v>
      </c>
      <c r="C33" s="470" t="n">
        <f aca="false">ROUND((C$19+C$25)*$B33,2)</f>
        <v>11.15</v>
      </c>
      <c r="D33" s="470" t="n">
        <f aca="false">ROUND((D$19+D$25)*$B33,2)</f>
        <v>9.56</v>
      </c>
      <c r="E33" s="470" t="n">
        <f aca="false">ROUND((E$19+E$25)*$B33,2)</f>
        <v>8.36</v>
      </c>
      <c r="F33" s="470" t="n">
        <f aca="false">ROUND((F$19+F$25)*$B33,2)</f>
        <v>7.17</v>
      </c>
      <c r="G33" s="471" t="n">
        <f aca="false">ROUND((G$19+G$25)*$B33,2)</f>
        <v>11.16</v>
      </c>
      <c r="AF33" s="416" t="s">
        <v>405</v>
      </c>
    </row>
    <row r="34" customFormat="false" ht="15.75" hidden="false" customHeight="true" outlineLevel="0" collapsed="false">
      <c r="A34" s="463" t="s">
        <v>406</v>
      </c>
      <c r="B34" s="464" t="n">
        <v>0.002</v>
      </c>
      <c r="C34" s="470" t="n">
        <f aca="false">ROUND((C$19+C$25)*$B34,2)</f>
        <v>3.72</v>
      </c>
      <c r="D34" s="470" t="n">
        <f aca="false">ROUND((D$19+D$25)*$B34,2)</f>
        <v>3.19</v>
      </c>
      <c r="E34" s="470" t="n">
        <f aca="false">ROUND((E$19+E$25)*$B34,2)</f>
        <v>2.79</v>
      </c>
      <c r="F34" s="470" t="n">
        <f aca="false">ROUND((F$19+F$25)*$B34,2)</f>
        <v>2.39</v>
      </c>
      <c r="G34" s="471" t="n">
        <f aca="false">ROUND((G$19+G$25)*$B34,2)</f>
        <v>3.72</v>
      </c>
    </row>
    <row r="35" customFormat="false" ht="15.75" hidden="false" customHeight="true" outlineLevel="0" collapsed="false">
      <c r="A35" s="463" t="s">
        <v>407</v>
      </c>
      <c r="B35" s="464" t="n">
        <v>0.08</v>
      </c>
      <c r="C35" s="470" t="n">
        <f aca="false">ROUND((C$19+C$25)*$B35,2)</f>
        <v>148.66</v>
      </c>
      <c r="D35" s="470" t="n">
        <f aca="false">ROUND((D$19+D$25)*$B35,2)</f>
        <v>127.43</v>
      </c>
      <c r="E35" s="470" t="n">
        <f aca="false">ROUND((E$19+E$25)*$B35,2)</f>
        <v>111.5</v>
      </c>
      <c r="F35" s="470" t="n">
        <f aca="false">ROUND((F$19+F$25)*$B35,2)</f>
        <v>95.57</v>
      </c>
      <c r="G35" s="471" t="n">
        <f aca="false">ROUND((G$19+G$25)*$B35,2)</f>
        <v>148.79</v>
      </c>
    </row>
    <row r="36" customFormat="false" ht="15.75" hidden="false" customHeight="true" outlineLevel="0" collapsed="false">
      <c r="A36" s="454" t="s">
        <v>392</v>
      </c>
      <c r="B36" s="465" t="n">
        <f aca="false">SUM(B28:B35)</f>
        <v>0.368</v>
      </c>
      <c r="C36" s="466" t="n">
        <f aca="false">SUM(C28:C35)</f>
        <v>683.85</v>
      </c>
      <c r="D36" s="466" t="n">
        <f aca="false">SUM(D28:D35)</f>
        <v>586.18</v>
      </c>
      <c r="E36" s="466" t="n">
        <f aca="false">SUM(E28:E35)</f>
        <v>512.9</v>
      </c>
      <c r="F36" s="466" t="n">
        <f aca="false">SUM(F28:F35)</f>
        <v>439.64</v>
      </c>
      <c r="G36" s="467" t="n">
        <f aca="false">SUM(G28:G35)</f>
        <v>684.45</v>
      </c>
    </row>
    <row r="37" customFormat="false" ht="15.75" hidden="false" customHeight="true" outlineLevel="0" collapsed="false">
      <c r="A37" s="460" t="s">
        <v>408</v>
      </c>
      <c r="B37" s="461" t="s">
        <v>409</v>
      </c>
      <c r="C37" s="461" t="s">
        <v>383</v>
      </c>
      <c r="D37" s="461" t="s">
        <v>383</v>
      </c>
      <c r="E37" s="461" t="s">
        <v>383</v>
      </c>
      <c r="F37" s="461" t="s">
        <v>383</v>
      </c>
      <c r="G37" s="462" t="s">
        <v>383</v>
      </c>
    </row>
    <row r="38" customFormat="false" ht="15.75" hidden="false" customHeight="true" outlineLevel="0" collapsed="false">
      <c r="A38" s="463" t="s">
        <v>410</v>
      </c>
      <c r="B38" s="472" t="n">
        <f aca="false">MC!E84</f>
        <v>3.81969696969697</v>
      </c>
      <c r="C38" s="445" t="n">
        <f aca="false">ROUND(((2*22*$B$38)-0.06*C$13),2)</f>
        <v>96.39</v>
      </c>
      <c r="D38" s="445" t="n">
        <f aca="false">ROUND(((2*22*$B$38)-0.06*D$13),2)</f>
        <v>96.39</v>
      </c>
      <c r="E38" s="445" t="n">
        <f aca="false">ROUND(((2*22*$B$38)-0.06*E$13),2)</f>
        <v>114.31</v>
      </c>
      <c r="F38" s="445" t="n">
        <f aca="false">ROUND(((2*22*$B$38)-0.06*F$13),2)</f>
        <v>114.31</v>
      </c>
      <c r="G38" s="447" t="n">
        <f aca="false">ROUND(((2*22*$B$38)-0.06*G$13),2)</f>
        <v>67.63</v>
      </c>
    </row>
    <row r="39" customFormat="false" ht="15.75" hidden="false" customHeight="true" outlineLevel="0" collapsed="false">
      <c r="A39" s="463" t="s">
        <v>411</v>
      </c>
      <c r="B39" s="473"/>
      <c r="C39" s="470" t="n">
        <f aca="false">MC!$F$17</f>
        <v>359.61</v>
      </c>
      <c r="D39" s="470" t="n">
        <f aca="false">MC!$F$17</f>
        <v>359.61</v>
      </c>
      <c r="E39" s="470" t="n">
        <f aca="false">MC!$F$18</f>
        <v>179.8</v>
      </c>
      <c r="F39" s="470" t="n">
        <f aca="false">MC!$F$18</f>
        <v>179.8</v>
      </c>
      <c r="G39" s="471" t="n">
        <f aca="false">MC!$F$17</f>
        <v>359.61</v>
      </c>
    </row>
    <row r="40" customFormat="false" ht="15.75" hidden="false" customHeight="true" outlineLevel="0" collapsed="false">
      <c r="A40" s="463" t="s">
        <v>412</v>
      </c>
      <c r="B40" s="464"/>
      <c r="C40" s="474" t="s">
        <v>387</v>
      </c>
      <c r="D40" s="474" t="s">
        <v>387</v>
      </c>
      <c r="E40" s="474" t="s">
        <v>387</v>
      </c>
      <c r="F40" s="474" t="s">
        <v>387</v>
      </c>
      <c r="G40" s="475" t="s">
        <v>387</v>
      </c>
    </row>
    <row r="41" customFormat="false" ht="15.75" hidden="false" customHeight="true" outlineLevel="0" collapsed="false">
      <c r="A41" s="463" t="s">
        <v>413</v>
      </c>
      <c r="B41" s="476"/>
      <c r="C41" s="474" t="s">
        <v>387</v>
      </c>
      <c r="D41" s="474" t="s">
        <v>387</v>
      </c>
      <c r="E41" s="474" t="s">
        <v>387</v>
      </c>
      <c r="F41" s="474" t="s">
        <v>387</v>
      </c>
      <c r="G41" s="475" t="s">
        <v>387</v>
      </c>
    </row>
    <row r="42" customFormat="false" ht="15.75" hidden="false" customHeight="true" outlineLevel="0" collapsed="false">
      <c r="A42" s="463" t="s">
        <v>414</v>
      </c>
      <c r="B42" s="477" t="n">
        <f aca="false">MC!F25</f>
        <v>17.32</v>
      </c>
      <c r="C42" s="470" t="n">
        <f aca="false">$B42</f>
        <v>17.32</v>
      </c>
      <c r="D42" s="470" t="n">
        <f aca="false">$B42</f>
        <v>17.32</v>
      </c>
      <c r="E42" s="470" t="n">
        <f aca="false">$B42</f>
        <v>17.32</v>
      </c>
      <c r="F42" s="470" t="n">
        <f aca="false">$B42</f>
        <v>17.32</v>
      </c>
      <c r="G42" s="471" t="n">
        <f aca="false">$B42</f>
        <v>17.32</v>
      </c>
    </row>
    <row r="43" customFormat="false" ht="15.75" hidden="false" customHeight="true" outlineLevel="0" collapsed="false">
      <c r="A43" s="463" t="s">
        <v>415</v>
      </c>
      <c r="B43" s="464"/>
      <c r="C43" s="474" t="s">
        <v>387</v>
      </c>
      <c r="D43" s="474" t="s">
        <v>387</v>
      </c>
      <c r="E43" s="474" t="s">
        <v>387</v>
      </c>
      <c r="F43" s="474" t="s">
        <v>387</v>
      </c>
      <c r="G43" s="475" t="s">
        <v>387</v>
      </c>
    </row>
    <row r="44" customFormat="false" ht="15.75" hidden="false" customHeight="true" outlineLevel="0" collapsed="false">
      <c r="A44" s="454" t="s">
        <v>392</v>
      </c>
      <c r="B44" s="455"/>
      <c r="C44" s="466" t="n">
        <f aca="false">SUM(C38:C43)</f>
        <v>473.32</v>
      </c>
      <c r="D44" s="466" t="n">
        <f aca="false">SUM(D38:D43)</f>
        <v>473.32</v>
      </c>
      <c r="E44" s="466" t="n">
        <f aca="false">SUM(E38:E43)</f>
        <v>311.43</v>
      </c>
      <c r="F44" s="466" t="n">
        <f aca="false">SUM(F38:F43)</f>
        <v>311.43</v>
      </c>
      <c r="G44" s="467" t="n">
        <f aca="false">SUM(G38:G43)</f>
        <v>444.56</v>
      </c>
    </row>
    <row r="45" customFormat="false" ht="14.25" hidden="false" customHeight="false" outlineLevel="0" collapsed="false">
      <c r="A45" s="440" t="s">
        <v>416</v>
      </c>
      <c r="B45" s="441" t="s">
        <v>382</v>
      </c>
      <c r="C45" s="441" t="s">
        <v>383</v>
      </c>
      <c r="D45" s="441" t="s">
        <v>383</v>
      </c>
      <c r="E45" s="441" t="s">
        <v>383</v>
      </c>
      <c r="F45" s="441" t="s">
        <v>383</v>
      </c>
      <c r="G45" s="442" t="s">
        <v>383</v>
      </c>
    </row>
    <row r="46" customFormat="false" ht="15.75" hidden="false" customHeight="true" outlineLevel="0" collapsed="false">
      <c r="A46" s="463" t="s">
        <v>394</v>
      </c>
      <c r="B46" s="478" t="n">
        <f aca="false">B25</f>
        <v>0.111111111111111</v>
      </c>
      <c r="C46" s="479" t="n">
        <f aca="false">C25</f>
        <v>185.827727272727</v>
      </c>
      <c r="D46" s="479" t="n">
        <f aca="false">D25</f>
        <v>159.280909090909</v>
      </c>
      <c r="E46" s="479" t="n">
        <f aca="false">E25</f>
        <v>139.373295454545</v>
      </c>
      <c r="F46" s="479" t="n">
        <f aca="false">F25</f>
        <v>119.465681818182</v>
      </c>
      <c r="G46" s="480" t="n">
        <f aca="false">G25</f>
        <v>185.987548181818</v>
      </c>
    </row>
    <row r="47" customFormat="false" ht="15.75" hidden="false" customHeight="true" outlineLevel="0" collapsed="false">
      <c r="A47" s="463" t="s">
        <v>417</v>
      </c>
      <c r="B47" s="478" t="n">
        <f aca="false">B36</f>
        <v>0.368</v>
      </c>
      <c r="C47" s="479" t="n">
        <f aca="false">C36</f>
        <v>683.85</v>
      </c>
      <c r="D47" s="479" t="n">
        <f aca="false">D36</f>
        <v>586.18</v>
      </c>
      <c r="E47" s="479" t="n">
        <f aca="false">E36</f>
        <v>512.9</v>
      </c>
      <c r="F47" s="479" t="n">
        <f aca="false">F36</f>
        <v>439.64</v>
      </c>
      <c r="G47" s="480" t="n">
        <f aca="false">G36</f>
        <v>684.45</v>
      </c>
    </row>
    <row r="48" customFormat="false" ht="15.75" hidden="false" customHeight="true" outlineLevel="0" collapsed="false">
      <c r="A48" s="463" t="s">
        <v>408</v>
      </c>
      <c r="B48" s="478"/>
      <c r="C48" s="479" t="n">
        <f aca="false">C44</f>
        <v>473.32</v>
      </c>
      <c r="D48" s="479" t="n">
        <f aca="false">D44</f>
        <v>473.32</v>
      </c>
      <c r="E48" s="479" t="n">
        <f aca="false">E44</f>
        <v>311.43</v>
      </c>
      <c r="F48" s="479" t="n">
        <f aca="false">F44</f>
        <v>311.43</v>
      </c>
      <c r="G48" s="480" t="n">
        <f aca="false">G44</f>
        <v>444.56</v>
      </c>
    </row>
    <row r="49" customFormat="false" ht="15.75" hidden="false" customHeight="true" outlineLevel="0" collapsed="false">
      <c r="A49" s="454" t="s">
        <v>392</v>
      </c>
      <c r="B49" s="455"/>
      <c r="C49" s="466" t="n">
        <f aca="false">SUM(C46:C48)</f>
        <v>1342.99772727273</v>
      </c>
      <c r="D49" s="456" t="n">
        <f aca="false">SUM(D46:D48)</f>
        <v>1218.78090909091</v>
      </c>
      <c r="E49" s="466" t="n">
        <f aca="false">SUM(E46:E48)</f>
        <v>963.703295454545</v>
      </c>
      <c r="F49" s="466" t="n">
        <f aca="false">SUM(F46:F48)</f>
        <v>870.535681818182</v>
      </c>
      <c r="G49" s="467" t="n">
        <f aca="false">SUM(G46:G48)</f>
        <v>1314.99754818182</v>
      </c>
    </row>
    <row r="50" customFormat="false" ht="14.25" hidden="false" customHeight="true" outlineLevel="0" collapsed="false">
      <c r="A50" s="481"/>
      <c r="B50" s="481"/>
      <c r="C50" s="481"/>
      <c r="D50" s="481"/>
      <c r="E50" s="481"/>
      <c r="F50" s="481"/>
      <c r="G50" s="481"/>
    </row>
    <row r="51" s="482" customFormat="true" ht="12.75" hidden="false" customHeight="true" outlineLevel="0" collapsed="false">
      <c r="A51" s="439" t="s">
        <v>418</v>
      </c>
      <c r="B51" s="439"/>
      <c r="C51" s="439"/>
      <c r="D51" s="439"/>
      <c r="E51" s="439"/>
      <c r="F51" s="439"/>
      <c r="G51" s="439"/>
    </row>
    <row r="52" customFormat="false" ht="15.75" hidden="false" customHeight="true" outlineLevel="0" collapsed="false">
      <c r="A52" s="440" t="s">
        <v>419</v>
      </c>
      <c r="B52" s="441" t="s">
        <v>382</v>
      </c>
      <c r="C52" s="441" t="s">
        <v>383</v>
      </c>
      <c r="D52" s="441" t="s">
        <v>383</v>
      </c>
      <c r="E52" s="441" t="s">
        <v>383</v>
      </c>
      <c r="F52" s="441" t="s">
        <v>383</v>
      </c>
      <c r="G52" s="442" t="s">
        <v>383</v>
      </c>
    </row>
    <row r="53" customFormat="false" ht="15.75" hidden="false" customHeight="true" outlineLevel="0" collapsed="false">
      <c r="A53" s="460" t="s">
        <v>420</v>
      </c>
      <c r="B53" s="483"/>
      <c r="C53" s="483"/>
      <c r="D53" s="483"/>
      <c r="E53" s="483"/>
      <c r="F53" s="483"/>
      <c r="G53" s="484"/>
    </row>
    <row r="54" customFormat="false" ht="15.75" hidden="false" customHeight="true" outlineLevel="0" collapsed="false">
      <c r="A54" s="463" t="s">
        <v>421</v>
      </c>
      <c r="B54" s="478" t="n">
        <f aca="false">1/12*0.05</f>
        <v>0.00416666666666667</v>
      </c>
      <c r="C54" s="485" t="n">
        <f aca="false">C19*$B54</f>
        <v>6.96865909090909</v>
      </c>
      <c r="D54" s="485" t="n">
        <f aca="false">D19*$B54</f>
        <v>5.97313636363637</v>
      </c>
      <c r="E54" s="485" t="n">
        <f aca="false">E19*$B54</f>
        <v>5.22649431818182</v>
      </c>
      <c r="F54" s="485" t="n">
        <f aca="false">F19*$B54</f>
        <v>4.47985227272727</v>
      </c>
      <c r="G54" s="486" t="n">
        <f aca="false">G19*$B54</f>
        <v>6.97463222727273</v>
      </c>
    </row>
    <row r="55" customFormat="false" ht="14.25" hidden="false" customHeight="false" outlineLevel="0" collapsed="false">
      <c r="A55" s="463" t="s">
        <v>422</v>
      </c>
      <c r="B55" s="478" t="n">
        <f aca="false">B35*B54</f>
        <v>0.000333333333333333</v>
      </c>
      <c r="C55" s="485" t="n">
        <f aca="false">$B$55*C19</f>
        <v>0.557492727272727</v>
      </c>
      <c r="D55" s="485" t="n">
        <f aca="false">$B$55*D19</f>
        <v>0.477850909090909</v>
      </c>
      <c r="E55" s="485" t="n">
        <f aca="false">$B$55*E19</f>
        <v>0.418119545454545</v>
      </c>
      <c r="F55" s="485" t="n">
        <f aca="false">$B$55*F19</f>
        <v>0.358388181818182</v>
      </c>
      <c r="G55" s="486" t="n">
        <f aca="false">$B$55*G19</f>
        <v>0.557970578181818</v>
      </c>
    </row>
    <row r="56" customFormat="false" ht="14.25" hidden="false" customHeight="false" outlineLevel="0" collapsed="false">
      <c r="A56" s="463" t="s">
        <v>423</v>
      </c>
      <c r="B56" s="478" t="n">
        <v>0</v>
      </c>
      <c r="C56" s="485" t="n">
        <f aca="false">C35*$B56</f>
        <v>0</v>
      </c>
      <c r="D56" s="485" t="n">
        <f aca="false">D35*$B56</f>
        <v>0</v>
      </c>
      <c r="E56" s="485" t="n">
        <f aca="false">E35*$B56</f>
        <v>0</v>
      </c>
      <c r="F56" s="485" t="n">
        <f aca="false">F35*$B56</f>
        <v>0</v>
      </c>
      <c r="G56" s="486" t="n">
        <f aca="false">G35*$B56</f>
        <v>0</v>
      </c>
    </row>
    <row r="57" customFormat="false" ht="14.25" hidden="false" customHeight="false" outlineLevel="0" collapsed="false">
      <c r="A57" s="463" t="s">
        <v>424</v>
      </c>
      <c r="B57" s="478" t="n">
        <f aca="false">1/12*1/30*7</f>
        <v>0.0194444444444444</v>
      </c>
      <c r="C57" s="479" t="n">
        <f aca="false">C19*$B57</f>
        <v>32.5204090909091</v>
      </c>
      <c r="D57" s="479" t="n">
        <f aca="false">D19*$B57</f>
        <v>27.8746363636364</v>
      </c>
      <c r="E57" s="479" t="n">
        <f aca="false">E19*$B57</f>
        <v>24.3903068181818</v>
      </c>
      <c r="F57" s="479" t="n">
        <f aca="false">F19*$B57</f>
        <v>20.9059772727273</v>
      </c>
      <c r="G57" s="480" t="n">
        <f aca="false">G19*$B57</f>
        <v>32.5482837272727</v>
      </c>
    </row>
    <row r="58" customFormat="false" ht="14.25" hidden="false" customHeight="false" outlineLevel="0" collapsed="false">
      <c r="A58" s="463" t="s">
        <v>425</v>
      </c>
      <c r="B58" s="478" t="n">
        <f aca="false">B36*B57</f>
        <v>0.00715555555555556</v>
      </c>
      <c r="C58" s="479" t="n">
        <f aca="false">$B58*C19</f>
        <v>11.9675105454545</v>
      </c>
      <c r="D58" s="479" t="n">
        <f aca="false">$B58*D19</f>
        <v>10.2578661818182</v>
      </c>
      <c r="E58" s="479" t="n">
        <f aca="false">$B58*E19</f>
        <v>8.97563290909091</v>
      </c>
      <c r="F58" s="479" t="n">
        <f aca="false">$B58*F19</f>
        <v>7.69339963636364</v>
      </c>
      <c r="G58" s="480" t="n">
        <f aca="false">$B58*G19</f>
        <v>11.9777684116364</v>
      </c>
    </row>
    <row r="59" customFormat="false" ht="14.25" hidden="false" customHeight="false" outlineLevel="0" collapsed="false">
      <c r="A59" s="463" t="s">
        <v>426</v>
      </c>
      <c r="B59" s="478" t="n">
        <f aca="false">B35*40/100*90/100*(1+1/12+1/12+1/3*1/12)</f>
        <v>0.0344</v>
      </c>
      <c r="C59" s="479" t="n">
        <f aca="false">C19*$B59</f>
        <v>57.5332494545454</v>
      </c>
      <c r="D59" s="479" t="n">
        <f aca="false">D19*$B59</f>
        <v>49.3142138181818</v>
      </c>
      <c r="E59" s="479" t="n">
        <f aca="false">E19*$B59</f>
        <v>43.1499370909091</v>
      </c>
      <c r="F59" s="479" t="n">
        <f aca="false">F19*$B59</f>
        <v>36.9856603636363</v>
      </c>
      <c r="G59" s="480" t="n">
        <f aca="false">G19*$B59</f>
        <v>57.5825636683636</v>
      </c>
    </row>
    <row r="60" customFormat="false" ht="14.25" hidden="false" customHeight="true" outlineLevel="0" collapsed="false">
      <c r="A60" s="454" t="s">
        <v>392</v>
      </c>
      <c r="B60" s="465" t="n">
        <f aca="false">SUM(B54:B59)</f>
        <v>0.0655</v>
      </c>
      <c r="C60" s="456" t="n">
        <f aca="false">SUM(C54:C59)</f>
        <v>109.547320909091</v>
      </c>
      <c r="D60" s="456" t="n">
        <f aca="false">SUM(D54:D59)</f>
        <v>93.8977036363636</v>
      </c>
      <c r="E60" s="456" t="n">
        <f aca="false">SUM(E54:E59)</f>
        <v>82.1604906818182</v>
      </c>
      <c r="F60" s="456" t="n">
        <f aca="false">SUM(F54:F59)</f>
        <v>70.4232777272727</v>
      </c>
      <c r="G60" s="458" t="n">
        <f aca="false">SUM(G54:G59)</f>
        <v>109.641218612727</v>
      </c>
    </row>
    <row r="61" customFormat="false" ht="14.25" hidden="false" customHeight="true" outlineLevel="0" collapsed="false">
      <c r="A61" s="459"/>
      <c r="B61" s="459"/>
      <c r="C61" s="459"/>
      <c r="D61" s="459"/>
      <c r="E61" s="459"/>
      <c r="F61" s="459"/>
      <c r="G61" s="459"/>
    </row>
    <row r="62" customFormat="false" ht="15.75" hidden="false" customHeight="true" outlineLevel="0" collapsed="false">
      <c r="A62" s="439" t="s">
        <v>427</v>
      </c>
      <c r="B62" s="439"/>
      <c r="C62" s="439"/>
      <c r="D62" s="439"/>
      <c r="E62" s="439"/>
      <c r="F62" s="439"/>
      <c r="G62" s="439"/>
    </row>
    <row r="63" customFormat="false" ht="14.25" hidden="false" customHeight="true" outlineLevel="0" collapsed="false">
      <c r="A63" s="460" t="s">
        <v>41</v>
      </c>
      <c r="B63" s="461" t="s">
        <v>382</v>
      </c>
      <c r="C63" s="461" t="s">
        <v>383</v>
      </c>
      <c r="D63" s="461" t="s">
        <v>383</v>
      </c>
      <c r="E63" s="461" t="s">
        <v>383</v>
      </c>
      <c r="F63" s="461" t="s">
        <v>383</v>
      </c>
      <c r="G63" s="462" t="s">
        <v>383</v>
      </c>
    </row>
    <row r="64" customFormat="false" ht="14.25" hidden="false" customHeight="true" outlineLevel="0" collapsed="false">
      <c r="A64" s="463" t="s">
        <v>42</v>
      </c>
      <c r="B64" s="464" t="n">
        <f aca="false">1/12</f>
        <v>0.0833333333333333</v>
      </c>
      <c r="C64" s="470" t="n">
        <f aca="false">$B64*(C$19+C$49+C$60)</f>
        <v>260.4186025</v>
      </c>
      <c r="D64" s="470" t="n">
        <f aca="false">$B64*(D$19+D$49+D$60)</f>
        <v>228.852611666667</v>
      </c>
      <c r="E64" s="470" t="n">
        <f aca="false">$B64*(E$19+E$49+E$60)</f>
        <v>191.685201875</v>
      </c>
      <c r="F64" s="470" t="n">
        <f aca="false">$B64*(F$19+F$49+F$60)</f>
        <v>168.010292083333</v>
      </c>
      <c r="G64" s="471" t="n">
        <f aca="false">$B64*(G$19+G$49+G$60)</f>
        <v>258.212541778333</v>
      </c>
    </row>
    <row r="65" customFormat="false" ht="14.25" hidden="false" customHeight="false" outlineLevel="0" collapsed="false">
      <c r="A65" s="463" t="s">
        <v>428</v>
      </c>
      <c r="B65" s="464" t="n">
        <f aca="false">MC!E52/30/12</f>
        <v>0.0135388888888889</v>
      </c>
      <c r="C65" s="470" t="n">
        <f aca="false">$B65*(C$19+C$49+C$60)</f>
        <v>42.3093422861667</v>
      </c>
      <c r="D65" s="470" t="n">
        <f aca="false">$B65*(D$19+D$49+D$60)</f>
        <v>37.1809209754444</v>
      </c>
      <c r="E65" s="470" t="n">
        <f aca="false">$B65*(E$19+E$49+E$60)</f>
        <v>31.1424557979583</v>
      </c>
      <c r="F65" s="470" t="n">
        <f aca="false">$B65*(F$19+F$49+F$60)</f>
        <v>27.2960721204722</v>
      </c>
      <c r="G65" s="471" t="n">
        <f aca="false">$B65*(G$19+G$49+G$60)</f>
        <v>41.9509309542532</v>
      </c>
    </row>
    <row r="66" customFormat="false" ht="14.25" hidden="false" customHeight="false" outlineLevel="0" collapsed="false">
      <c r="A66" s="463" t="s">
        <v>429</v>
      </c>
      <c r="B66" s="487" t="n">
        <f aca="false">(5/30)/12*MC!F54*MC!C55</f>
        <v>0.000107645833333333</v>
      </c>
      <c r="C66" s="470" t="n">
        <f aca="false">$B66*(C$19+C$49+C$60)</f>
        <v>0.336395729779375</v>
      </c>
      <c r="D66" s="470" t="n">
        <f aca="false">$B66*(D$19+D$49+D$60)</f>
        <v>0.295620361120417</v>
      </c>
      <c r="E66" s="470" t="n">
        <f aca="false">$B66*(E$19+E$49+E$60)</f>
        <v>0.247609359522031</v>
      </c>
      <c r="F66" s="470" t="n">
        <f aca="false">$B66*(F$19+F$49+F$60)</f>
        <v>0.217027294798646</v>
      </c>
      <c r="G66" s="471" t="n">
        <f aca="false">$B66*(G$19+G$49+G$60)</f>
        <v>0.333546050842162</v>
      </c>
    </row>
    <row r="67" customFormat="false" ht="14.25" hidden="false" customHeight="true" outlineLevel="0" collapsed="false">
      <c r="A67" s="463" t="s">
        <v>430</v>
      </c>
      <c r="B67" s="487" t="n">
        <f aca="false">MC!C57/30/12</f>
        <v>0.00268305555555556</v>
      </c>
      <c r="C67" s="470" t="n">
        <f aca="false">$B67*(C$19+C$49+C$60)</f>
        <v>8.38461093849167</v>
      </c>
      <c r="D67" s="470" t="n">
        <f aca="false">$B67*(D$19+D$49+D$60)</f>
        <v>7.36829125362778</v>
      </c>
      <c r="E67" s="470" t="n">
        <f aca="false">$B67*(E$19+E$49+E$60)</f>
        <v>6.17162454970208</v>
      </c>
      <c r="F67" s="470" t="n">
        <f aca="false">$B67*(F$19+F$49+F$60)</f>
        <v>5.40937137077639</v>
      </c>
      <c r="G67" s="471" t="n">
        <f aca="false">$B67*(G$19+G$49+G$60)</f>
        <v>8.31358313678974</v>
      </c>
    </row>
    <row r="68" customFormat="false" ht="14.25" hidden="false" customHeight="true" outlineLevel="0" collapsed="false">
      <c r="A68" s="463" t="s">
        <v>391</v>
      </c>
      <c r="B68" s="464"/>
      <c r="C68" s="474" t="s">
        <v>387</v>
      </c>
      <c r="D68" s="474" t="s">
        <v>387</v>
      </c>
      <c r="E68" s="474" t="s">
        <v>387</v>
      </c>
      <c r="F68" s="474" t="s">
        <v>387</v>
      </c>
      <c r="G68" s="475" t="s">
        <v>387</v>
      </c>
    </row>
    <row r="69" customFormat="false" ht="14.25" hidden="false" customHeight="true" outlineLevel="0" collapsed="false">
      <c r="A69" s="488" t="s">
        <v>431</v>
      </c>
      <c r="B69" s="489" t="n">
        <f aca="false">SUM(B64:B68)</f>
        <v>0.0996629236111111</v>
      </c>
      <c r="C69" s="490" t="n">
        <f aca="false">SUM(C64:C68)</f>
        <v>311.448951454438</v>
      </c>
      <c r="D69" s="490" t="n">
        <f aca="false">SUM(D64:D68)</f>
        <v>273.697444256859</v>
      </c>
      <c r="E69" s="490" t="n">
        <f aca="false">SUM(E64:E68)</f>
        <v>229.246891582182</v>
      </c>
      <c r="F69" s="490" t="n">
        <f aca="false">SUM(F64:F68)</f>
        <v>200.932762869381</v>
      </c>
      <c r="G69" s="491" t="n">
        <f aca="false">SUM(G64:G68)</f>
        <v>308.810601920218</v>
      </c>
    </row>
    <row r="70" customFormat="false" ht="14.25" hidden="false" customHeight="true" outlineLevel="0" collapsed="false">
      <c r="A70" s="460" t="s">
        <v>432</v>
      </c>
      <c r="B70" s="461" t="s">
        <v>382</v>
      </c>
      <c r="C70" s="461" t="s">
        <v>383</v>
      </c>
      <c r="D70" s="461" t="s">
        <v>383</v>
      </c>
      <c r="E70" s="461" t="s">
        <v>383</v>
      </c>
      <c r="F70" s="461" t="s">
        <v>383</v>
      </c>
      <c r="G70" s="462" t="s">
        <v>383</v>
      </c>
    </row>
    <row r="71" customFormat="false" ht="14.25" hidden="false" customHeight="true" outlineLevel="0" collapsed="false">
      <c r="A71" s="463" t="s">
        <v>433</v>
      </c>
      <c r="B71" s="464"/>
      <c r="C71" s="474" t="s">
        <v>387</v>
      </c>
      <c r="D71" s="474" t="s">
        <v>387</v>
      </c>
      <c r="E71" s="474" t="s">
        <v>387</v>
      </c>
      <c r="F71" s="474" t="s">
        <v>387</v>
      </c>
      <c r="G71" s="475" t="s">
        <v>387</v>
      </c>
    </row>
    <row r="72" customFormat="false" ht="14.25" hidden="false" customHeight="true" outlineLevel="0" collapsed="false">
      <c r="A72" s="488" t="s">
        <v>431</v>
      </c>
      <c r="B72" s="489"/>
      <c r="C72" s="492" t="str">
        <f aca="false">C71</f>
        <v>-</v>
      </c>
      <c r="D72" s="492" t="str">
        <f aca="false">D71</f>
        <v>-</v>
      </c>
      <c r="E72" s="492" t="str">
        <f aca="false">E71</f>
        <v>-</v>
      </c>
      <c r="F72" s="492" t="str">
        <f aca="false">F71</f>
        <v>-</v>
      </c>
      <c r="G72" s="493" t="str">
        <f aca="false">G71</f>
        <v>-</v>
      </c>
    </row>
    <row r="73" customFormat="false" ht="14.25" hidden="false" customHeight="true" outlineLevel="0" collapsed="false">
      <c r="A73" s="460" t="s">
        <v>63</v>
      </c>
      <c r="B73" s="461" t="s">
        <v>382</v>
      </c>
      <c r="C73" s="461" t="s">
        <v>383</v>
      </c>
      <c r="D73" s="461" t="s">
        <v>383</v>
      </c>
      <c r="E73" s="461" t="s">
        <v>383</v>
      </c>
      <c r="F73" s="461" t="s">
        <v>383</v>
      </c>
      <c r="G73" s="462" t="s">
        <v>383</v>
      </c>
    </row>
    <row r="74" customFormat="false" ht="14.25" hidden="false" customHeight="true" outlineLevel="0" collapsed="false">
      <c r="A74" s="463" t="s">
        <v>64</v>
      </c>
      <c r="B74" s="464" t="n">
        <f aca="false">120/30*MC!C60*MC!C61</f>
        <v>0.00618624</v>
      </c>
      <c r="C74" s="470" t="n">
        <f aca="false">(((C19*2)+ (C19*1/3))+(C36)+(C44-C38-C39))*$B$74</f>
        <v>28.4790925649454</v>
      </c>
      <c r="D74" s="470" t="n">
        <f aca="false">(((D19*2)+ (D19*1/3))+(D36)+(D44-D38-D39))*$B$74</f>
        <v>24.4260986949818</v>
      </c>
      <c r="E74" s="470" t="n">
        <f aca="false">(((E19*2)+ (E19*1/3))+(E36)+(E44-E38-E39))*$B$74</f>
        <v>21.3861831709091</v>
      </c>
      <c r="F74" s="470" t="n">
        <f aca="false">(((F19*2)+ (F19*1/3))+(F36)+(F44-F38-F39))*$B$74</f>
        <v>18.3463913716364</v>
      </c>
      <c r="G74" s="471" t="n">
        <f aca="false">(((G19*2)+ (G19*1/3))+(G36)+(G44-G38-G39))*$B$74</f>
        <v>28.5034970118004</v>
      </c>
    </row>
    <row r="75" customFormat="false" ht="15.75" hidden="false" customHeight="true" outlineLevel="0" collapsed="false">
      <c r="A75" s="488" t="s">
        <v>392</v>
      </c>
      <c r="B75" s="489"/>
      <c r="C75" s="492" t="n">
        <f aca="false">C74</f>
        <v>28.4790925649454</v>
      </c>
      <c r="D75" s="492" t="n">
        <f aca="false">D74</f>
        <v>24.4260986949818</v>
      </c>
      <c r="E75" s="492" t="n">
        <f aca="false">E74</f>
        <v>21.3861831709091</v>
      </c>
      <c r="F75" s="492" t="n">
        <f aca="false">F74</f>
        <v>18.3463913716364</v>
      </c>
      <c r="G75" s="493" t="n">
        <f aca="false">G74</f>
        <v>28.5034970118004</v>
      </c>
    </row>
    <row r="76" customFormat="false" ht="14.25" hidden="false" customHeight="false" outlineLevel="0" collapsed="false">
      <c r="A76" s="440" t="s">
        <v>434</v>
      </c>
      <c r="B76" s="441" t="s">
        <v>382</v>
      </c>
      <c r="C76" s="441" t="s">
        <v>383</v>
      </c>
      <c r="D76" s="441" t="s">
        <v>383</v>
      </c>
      <c r="E76" s="441" t="s">
        <v>383</v>
      </c>
      <c r="F76" s="441" t="s">
        <v>383</v>
      </c>
      <c r="G76" s="442" t="s">
        <v>383</v>
      </c>
    </row>
    <row r="77" customFormat="false" ht="14.25" hidden="false" customHeight="false" outlineLevel="0" collapsed="false">
      <c r="A77" s="463" t="s">
        <v>41</v>
      </c>
      <c r="B77" s="478" t="n">
        <f aca="false">B69</f>
        <v>0.0996629236111111</v>
      </c>
      <c r="C77" s="479" t="n">
        <f aca="false">C69</f>
        <v>311.448951454438</v>
      </c>
      <c r="D77" s="479" t="n">
        <f aca="false">D69</f>
        <v>273.697444256859</v>
      </c>
      <c r="E77" s="479" t="n">
        <f aca="false">E69</f>
        <v>229.246891582182</v>
      </c>
      <c r="F77" s="479" t="n">
        <f aca="false">F69</f>
        <v>200.932762869381</v>
      </c>
      <c r="G77" s="480" t="n">
        <f aca="false">G69</f>
        <v>308.810601920218</v>
      </c>
    </row>
    <row r="78" customFormat="false" ht="15.75" hidden="false" customHeight="true" outlineLevel="0" collapsed="false">
      <c r="A78" s="463" t="s">
        <v>432</v>
      </c>
      <c r="B78" s="478" t="n">
        <f aca="false">B72</f>
        <v>0</v>
      </c>
      <c r="C78" s="479" t="str">
        <f aca="false">C72</f>
        <v>-</v>
      </c>
      <c r="D78" s="479" t="str">
        <f aca="false">D72</f>
        <v>-</v>
      </c>
      <c r="E78" s="479" t="str">
        <f aca="false">E72</f>
        <v>-</v>
      </c>
      <c r="F78" s="479" t="str">
        <f aca="false">F72</f>
        <v>-</v>
      </c>
      <c r="G78" s="480" t="str">
        <f aca="false">G72</f>
        <v>-</v>
      </c>
    </row>
    <row r="79" customFormat="false" ht="15.75" hidden="false" customHeight="true" outlineLevel="0" collapsed="false">
      <c r="A79" s="463" t="s">
        <v>63</v>
      </c>
      <c r="B79" s="478" t="n">
        <f aca="false">B74</f>
        <v>0.00618624</v>
      </c>
      <c r="C79" s="479" t="n">
        <f aca="false">C74</f>
        <v>28.4790925649454</v>
      </c>
      <c r="D79" s="479" t="n">
        <f aca="false">D74</f>
        <v>24.4260986949818</v>
      </c>
      <c r="E79" s="479" t="n">
        <f aca="false">E74</f>
        <v>21.3861831709091</v>
      </c>
      <c r="F79" s="479" t="n">
        <f aca="false">F74</f>
        <v>18.3463913716364</v>
      </c>
      <c r="G79" s="480" t="n">
        <f aca="false">G74</f>
        <v>28.5034970118004</v>
      </c>
    </row>
    <row r="80" customFormat="false" ht="15.75" hidden="false" customHeight="true" outlineLevel="0" collapsed="false">
      <c r="A80" s="454" t="s">
        <v>392</v>
      </c>
      <c r="B80" s="455"/>
      <c r="C80" s="466" t="n">
        <f aca="false">SUM(C77:C79)</f>
        <v>339.928044019383</v>
      </c>
      <c r="D80" s="466" t="n">
        <f aca="false">SUM(D77:D79)</f>
        <v>298.123542951841</v>
      </c>
      <c r="E80" s="466" t="n">
        <f aca="false">SUM(E77:E79)</f>
        <v>250.633074753092</v>
      </c>
      <c r="F80" s="466" t="n">
        <f aca="false">SUM(F77:F79)</f>
        <v>219.279154241017</v>
      </c>
      <c r="G80" s="467" t="n">
        <f aca="false">SUM(G77:G79)</f>
        <v>337.314098932019</v>
      </c>
    </row>
    <row r="81" customFormat="false" ht="15.75" hidden="false" customHeight="true" outlineLevel="0" collapsed="false">
      <c r="A81" s="459"/>
      <c r="B81" s="459"/>
      <c r="C81" s="459"/>
      <c r="D81" s="459"/>
      <c r="E81" s="459"/>
      <c r="F81" s="459"/>
      <c r="G81" s="459"/>
    </row>
    <row r="82" customFormat="false" ht="15.75" hidden="false" customHeight="true" outlineLevel="0" collapsed="false">
      <c r="A82" s="439" t="s">
        <v>435</v>
      </c>
      <c r="B82" s="439"/>
      <c r="C82" s="439"/>
      <c r="D82" s="439"/>
      <c r="E82" s="439"/>
      <c r="F82" s="439"/>
      <c r="G82" s="439"/>
    </row>
    <row r="83" customFormat="false" ht="15.75" hidden="false" customHeight="true" outlineLevel="0" collapsed="false">
      <c r="A83" s="440" t="s">
        <v>436</v>
      </c>
      <c r="B83" s="441" t="s">
        <v>437</v>
      </c>
      <c r="C83" s="441" t="s">
        <v>383</v>
      </c>
      <c r="D83" s="441" t="s">
        <v>383</v>
      </c>
      <c r="E83" s="441" t="s">
        <v>383</v>
      </c>
      <c r="F83" s="441" t="s">
        <v>383</v>
      </c>
      <c r="G83" s="442" t="s">
        <v>383</v>
      </c>
    </row>
    <row r="84" customFormat="false" ht="15.75" hidden="false" customHeight="true" outlineLevel="0" collapsed="false">
      <c r="A84" s="463" t="s">
        <v>438</v>
      </c>
      <c r="B84" s="494"/>
      <c r="C84" s="445" t="n">
        <f aca="false">Insumos!$G$118</f>
        <v>27.8754166666667</v>
      </c>
      <c r="D84" s="445" t="n">
        <f aca="false">Insumos!$G$118</f>
        <v>27.8754166666667</v>
      </c>
      <c r="E84" s="445" t="n">
        <f aca="false">Insumos!$G$118</f>
        <v>27.8754166666667</v>
      </c>
      <c r="F84" s="445" t="n">
        <f aca="false">Insumos!$G$118</f>
        <v>27.8754166666667</v>
      </c>
      <c r="G84" s="447" t="n">
        <f aca="false">Insumos!G119</f>
        <v>34.0304166666667</v>
      </c>
    </row>
    <row r="85" customFormat="false" ht="14.25" hidden="false" customHeight="false" outlineLevel="0" collapsed="false">
      <c r="A85" s="495" t="s">
        <v>439</v>
      </c>
      <c r="B85" s="494"/>
      <c r="C85" s="445" t="n">
        <f aca="false">Insumos!$G60</f>
        <v>461.231116666667</v>
      </c>
      <c r="D85" s="445" t="n">
        <f aca="false">Insumos!$G60</f>
        <v>461.231116666667</v>
      </c>
      <c r="E85" s="445" t="n">
        <f aca="false">Insumos!$G60</f>
        <v>461.231116666667</v>
      </c>
      <c r="F85" s="445" t="n">
        <f aca="false">Insumos!$G60</f>
        <v>461.231116666667</v>
      </c>
      <c r="G85" s="449" t="s">
        <v>387</v>
      </c>
    </row>
    <row r="86" customFormat="false" ht="14.25" hidden="false" customHeight="false" outlineLevel="0" collapsed="false">
      <c r="A86" s="495" t="s">
        <v>440</v>
      </c>
      <c r="B86" s="496"/>
      <c r="C86" s="445" t="n">
        <f aca="false">Insumos!$G100</f>
        <v>20.9708068181818</v>
      </c>
      <c r="D86" s="445" t="n">
        <f aca="false">Insumos!$G100</f>
        <v>20.9708068181818</v>
      </c>
      <c r="E86" s="445" t="n">
        <f aca="false">Insumos!$G100</f>
        <v>20.9708068181818</v>
      </c>
      <c r="F86" s="445" t="n">
        <f aca="false">Insumos!$G100</f>
        <v>20.9708068181818</v>
      </c>
      <c r="G86" s="449" t="s">
        <v>387</v>
      </c>
    </row>
    <row r="87" customFormat="false" ht="15.75" hidden="false" customHeight="true" outlineLevel="0" collapsed="false">
      <c r="A87" s="495" t="s">
        <v>441</v>
      </c>
      <c r="B87" s="494"/>
      <c r="C87" s="445" t="n">
        <f aca="false">Insumos!$I130</f>
        <v>36.6666666666667</v>
      </c>
      <c r="D87" s="445" t="n">
        <f aca="false">Insumos!$I130</f>
        <v>36.6666666666667</v>
      </c>
      <c r="E87" s="445" t="n">
        <f aca="false">Insumos!$H130</f>
        <v>25.4466666666667</v>
      </c>
      <c r="F87" s="445" t="n">
        <f aca="false">Insumos!$H130</f>
        <v>25.4466666666667</v>
      </c>
      <c r="G87" s="449" t="s">
        <v>387</v>
      </c>
    </row>
    <row r="88" customFormat="false" ht="15.75" hidden="false" customHeight="true" outlineLevel="0" collapsed="false">
      <c r="A88" s="495" t="s">
        <v>442</v>
      </c>
      <c r="B88" s="464"/>
      <c r="C88" s="451" t="s">
        <v>387</v>
      </c>
      <c r="D88" s="451" t="s">
        <v>387</v>
      </c>
      <c r="E88" s="451" t="s">
        <v>387</v>
      </c>
      <c r="F88" s="451" t="s">
        <v>387</v>
      </c>
      <c r="G88" s="449" t="s">
        <v>387</v>
      </c>
    </row>
    <row r="89" customFormat="false" ht="15.75" hidden="false" customHeight="true" outlineLevel="0" collapsed="false">
      <c r="A89" s="497" t="s">
        <v>443</v>
      </c>
      <c r="B89" s="498"/>
      <c r="C89" s="499"/>
      <c r="D89" s="499"/>
      <c r="E89" s="499"/>
      <c r="F89" s="499"/>
      <c r="G89" s="500" t="n">
        <f aca="false">Insumos!H146</f>
        <v>50.3233333333333</v>
      </c>
    </row>
    <row r="90" customFormat="false" ht="15.75" hidden="false" customHeight="true" outlineLevel="0" collapsed="false">
      <c r="A90" s="495" t="s">
        <v>444</v>
      </c>
      <c r="B90" s="464"/>
      <c r="C90" s="451"/>
      <c r="D90" s="451"/>
      <c r="E90" s="451"/>
      <c r="F90" s="451"/>
      <c r="G90" s="449"/>
    </row>
    <row r="91" customFormat="false" ht="15.75" hidden="false" customHeight="true" outlineLevel="0" collapsed="false">
      <c r="A91" s="488" t="s">
        <v>392</v>
      </c>
      <c r="B91" s="501"/>
      <c r="C91" s="490" t="n">
        <f aca="false">SUM(C84:C90)</f>
        <v>546.744006818182</v>
      </c>
      <c r="D91" s="490" t="n">
        <f aca="false">SUM(D84:D90)</f>
        <v>546.744006818182</v>
      </c>
      <c r="E91" s="490" t="n">
        <f aca="false">SUM(E84:E90)</f>
        <v>535.524006818182</v>
      </c>
      <c r="F91" s="490" t="n">
        <f aca="false">SUM(F84:F90)</f>
        <v>535.524006818182</v>
      </c>
      <c r="G91" s="491" t="n">
        <f aca="false">SUM(G84:G90)</f>
        <v>84.35375</v>
      </c>
    </row>
    <row r="92" customFormat="false" ht="15.75" hidden="false" customHeight="true" outlineLevel="0" collapsed="false">
      <c r="A92" s="502"/>
      <c r="B92" s="502"/>
      <c r="C92" s="503"/>
      <c r="D92" s="503"/>
      <c r="E92" s="503"/>
      <c r="F92" s="503"/>
      <c r="G92" s="504"/>
    </row>
    <row r="93" customFormat="false" ht="15.75" hidden="false" customHeight="true" outlineLevel="0" collapsed="false">
      <c r="A93" s="505" t="s">
        <v>445</v>
      </c>
      <c r="B93" s="505"/>
      <c r="C93" s="505"/>
      <c r="D93" s="505"/>
      <c r="E93" s="505"/>
      <c r="F93" s="505"/>
      <c r="G93" s="505"/>
    </row>
    <row r="94" customFormat="false" ht="15.75" hidden="false" customHeight="true" outlineLevel="0" collapsed="false">
      <c r="A94" s="440" t="s">
        <v>446</v>
      </c>
      <c r="B94" s="441" t="s">
        <v>382</v>
      </c>
      <c r="C94" s="441" t="s">
        <v>383</v>
      </c>
      <c r="D94" s="441" t="s">
        <v>383</v>
      </c>
      <c r="E94" s="441" t="s">
        <v>383</v>
      </c>
      <c r="F94" s="441" t="s">
        <v>383</v>
      </c>
      <c r="G94" s="442" t="s">
        <v>383</v>
      </c>
    </row>
    <row r="95" customFormat="false" ht="15.75" hidden="false" customHeight="true" outlineLevel="0" collapsed="false">
      <c r="A95" s="443" t="s">
        <v>69</v>
      </c>
      <c r="B95" s="464" t="n">
        <f aca="false">MC!C64</f>
        <v>0.03</v>
      </c>
      <c r="C95" s="470" t="n">
        <f aca="false">(C$19+C$49+C$60+C$80+C$91)*$B$95</f>
        <v>120.350858425127</v>
      </c>
      <c r="D95" s="470" t="n">
        <f aca="false">(D$19+D$49+D$60+D$80+D$91)*$B$95</f>
        <v>107.732966693101</v>
      </c>
      <c r="E95" s="470" t="n">
        <f aca="false">(E$19+E$49+E$60+E$80+E$91)*$B$95</f>
        <v>92.5913851221382</v>
      </c>
      <c r="F95" s="470" t="n">
        <f aca="false">(F$19+F$49+F$60+F$80+F$91)*$B$95</f>
        <v>83.127799981776</v>
      </c>
      <c r="G95" s="471" t="n">
        <f aca="false">(G$19+G$49+G$60+G$80+G$91)*$B$95</f>
        <v>105.606550508161</v>
      </c>
    </row>
    <row r="96" customFormat="false" ht="13.9" hidden="false" customHeight="true" outlineLevel="0" collapsed="false">
      <c r="A96" s="443" t="s">
        <v>70</v>
      </c>
      <c r="B96" s="464" t="n">
        <f aca="false">MC!C65</f>
        <v>0.0679</v>
      </c>
      <c r="C96" s="470" t="n">
        <f aca="false">(C$19+C$49+C$60+C$80+C$91+C95)*$B$96</f>
        <v>280.565932855937</v>
      </c>
      <c r="D96" s="470" t="n">
        <f aca="false">(D$19+D$49+D$60+D$80+D$91+D95)*$B$96</f>
        <v>251.150683053846</v>
      </c>
      <c r="E96" s="470" t="n">
        <f aca="false">(E$19+E$49+E$60+E$80+E$91+E95)*$B$96</f>
        <v>215.852123376233</v>
      </c>
      <c r="F96" s="470" t="n">
        <f aca="false">(F$19+F$49+F$60+F$80+F$91+F95)*$B$96</f>
        <v>193.790298244182</v>
      </c>
      <c r="G96" s="471" t="n">
        <f aca="false">(G$19+G$49+G$60+G$80+G$91+G95)*$B$96</f>
        <v>246.193510762974</v>
      </c>
    </row>
    <row r="97" customFormat="false" ht="13.9" hidden="false" customHeight="true" outlineLevel="0" collapsed="false">
      <c r="A97" s="506" t="s">
        <v>447</v>
      </c>
      <c r="B97" s="507" t="n">
        <f aca="false">B98+B99</f>
        <v>0.1125</v>
      </c>
      <c r="C97" s="508" t="n">
        <f aca="false">((C19+C49+C60+C80+C91+C95+C96)/(1-($B$97)))*$B$97</f>
        <v>559.34519224039</v>
      </c>
      <c r="D97" s="508" t="n">
        <f aca="false">((D19+D49+D60+D80+D91+D95+D96)/(1-($B$97)))*$B$97</f>
        <v>500.702012051447</v>
      </c>
      <c r="E97" s="508" t="n">
        <f aca="false">((E19+E49+E60+E80+E91+E95+E96)/(1-($B$97)))*$B$97</f>
        <v>430.329677649673</v>
      </c>
      <c r="F97" s="508" t="n">
        <f aca="false">((F19+F49+F60+F80+F91+F95+F96)/(1-($B$97)))*$B$97</f>
        <v>386.346519416428</v>
      </c>
      <c r="G97" s="509" t="n">
        <f aca="false">((G19+G49+G60+G80+G91+G95+G96)/(1-($B$97)))*$B$97</f>
        <v>490.819235266034</v>
      </c>
    </row>
    <row r="98" customFormat="false" ht="14.85" hidden="false" customHeight="true" outlineLevel="0" collapsed="false">
      <c r="A98" s="443" t="s">
        <v>448</v>
      </c>
      <c r="B98" s="464" t="n">
        <f aca="false">0.0165+0.076</f>
        <v>0.0925</v>
      </c>
      <c r="C98" s="510" t="n">
        <f aca="false">((C$19+C$49+C$60+C$80+C$91+C$95+C$96)/(1-($B$97)))*$B$98</f>
        <v>459.906046953209</v>
      </c>
      <c r="D98" s="510" t="n">
        <f aca="false">((D$19+D$49+D$60+D$80+D$91+D$95+D$96)/(1-($B$97)))*$B$98</f>
        <v>411.688321020079</v>
      </c>
      <c r="E98" s="510" t="n">
        <f aca="false">((E$19+E$49+E$60+E$80+E$91+E$95+E$96)/(1-($B$97)))*$B$98</f>
        <v>353.826623845287</v>
      </c>
      <c r="F98" s="510" t="n">
        <f aca="false">((F$19+F$49+F$60+F$80+F$91+F$95+F$96)/(1-($B$97)))*$B$98</f>
        <v>317.662693742397</v>
      </c>
      <c r="G98" s="511" t="n">
        <f aca="false">((G$19+G$49+G$60+G$80+G$91+G$95+G$96)/(1-($B$97)))*$B$98</f>
        <v>403.56248232985</v>
      </c>
    </row>
    <row r="99" customFormat="false" ht="13.9" hidden="false" customHeight="true" outlineLevel="0" collapsed="false">
      <c r="A99" s="443" t="s">
        <v>449</v>
      </c>
      <c r="B99" s="464" t="n">
        <v>0.02</v>
      </c>
      <c r="C99" s="512" t="n">
        <f aca="false">((C$19+C$49+C$60+C$80+C$91+C$95+C$96)/(1-($B$97)))*$B$99</f>
        <v>99.4391452871804</v>
      </c>
      <c r="D99" s="512" t="n">
        <f aca="false">((D$19+D$49+D$60+D$80+D$91+D$95+D$96)/(1-($B$97)))*$B$99</f>
        <v>89.0136910313683</v>
      </c>
      <c r="E99" s="512" t="n">
        <f aca="false">((E$19+E$49+E$60+E$80+E$91+E$95+E$96)/(1-($B$97)))*$B$99</f>
        <v>76.5030538043863</v>
      </c>
      <c r="F99" s="512" t="n">
        <f aca="false">((F$19+F$49+F$60+F$80+F$91+F$95+F$96)/(1-($B$97)))*$B$99</f>
        <v>68.6838256740317</v>
      </c>
      <c r="G99" s="513" t="n">
        <f aca="false">((G$19+G$49+G$60+G$80+G$91+G$95+G$96)/(1-($B$97)))*$B$99</f>
        <v>87.2567529361838</v>
      </c>
    </row>
    <row r="100" customFormat="false" ht="13.9" hidden="false" customHeight="true" outlineLevel="0" collapsed="false">
      <c r="A100" s="506" t="s">
        <v>450</v>
      </c>
      <c r="B100" s="507" t="n">
        <f aca="false">B101+B102</f>
        <v>0.1175</v>
      </c>
      <c r="C100" s="508" t="n">
        <f aca="false">((C19+C49+C60+C80+C91+C95+C96)/(1-($B$100)))*$B$100</f>
        <v>587.5149217835</v>
      </c>
      <c r="D100" s="508" t="n">
        <f aca="false">((D19+D49+D60+D80+D91+D95+D96)/(1-($B$100)))*$B$100</f>
        <v>525.918355119823</v>
      </c>
      <c r="E100" s="508" t="n">
        <f aca="false">((E19+E49+E60+E80+E91+E95+E96)/(1-($B$100)))*$B$100</f>
        <v>452.001930852049</v>
      </c>
      <c r="F100" s="508" t="n">
        <f aca="false">((F19+F49+F60+F80+F91+F95+F96)/(1-($B$100)))*$B$100</f>
        <v>405.803693828335</v>
      </c>
      <c r="G100" s="509" t="n">
        <f aca="false">((G19+G49+G60+G80+G91+G95+G96)/(1-($B$100)))*$B$100</f>
        <v>515.537862160137</v>
      </c>
    </row>
    <row r="101" customFormat="false" ht="13.9" hidden="false" customHeight="true" outlineLevel="0" collapsed="false">
      <c r="A101" s="443" t="s">
        <v>448</v>
      </c>
      <c r="B101" s="464" t="n">
        <f aca="false">0.0165+0.076</f>
        <v>0.0925</v>
      </c>
      <c r="C101" s="510" t="n">
        <f aca="false">((C19+C49+C60+C80+C91+C95+C96)/(1-($B$100)))*$B$101</f>
        <v>462.511746935947</v>
      </c>
      <c r="D101" s="510" t="n">
        <f aca="false">((D19+D49+D60+D80+D91+D95+D96)/(1-($B$100)))*$B$101</f>
        <v>414.020832753903</v>
      </c>
      <c r="E101" s="510" t="n">
        <f aca="false">((E19+E49+E60+E80+E91+E95+E96)/(1-($B$100)))*$B$101</f>
        <v>355.831307266507</v>
      </c>
      <c r="F101" s="510" t="n">
        <f aca="false">((F19+F49+F60+F80+F91+F95+F96)/(1-($B$100)))*$B$101</f>
        <v>319.462482375498</v>
      </c>
      <c r="G101" s="511" t="n">
        <f aca="false">((G19+G49+G60+G80+G91+G95+G96)/(1-($B$100)))*$B$101</f>
        <v>405.848955317554</v>
      </c>
    </row>
    <row r="102" customFormat="false" ht="13.9" hidden="false" customHeight="true" outlineLevel="0" collapsed="false">
      <c r="A102" s="443" t="s">
        <v>449</v>
      </c>
      <c r="B102" s="464" t="n">
        <v>0.025</v>
      </c>
      <c r="C102" s="512" t="n">
        <f aca="false">((C$19+C$49+C$60+C$80+C$91+C$95+C$96)/(1-($B$100)))*$B$102</f>
        <v>125.003174847553</v>
      </c>
      <c r="D102" s="512" t="n">
        <f aca="false">((D$19+D$49+D$60+D$80+D$91+D$95+D$96)/(1-($B$100)))*$B$102</f>
        <v>111.89752236592</v>
      </c>
      <c r="E102" s="512" t="n">
        <f aca="false">((E$19+E$49+E$60+E$80+E$91+E$95+E$96)/(1-($B$100)))*$B$102</f>
        <v>96.1706235855423</v>
      </c>
      <c r="F102" s="512" t="n">
        <f aca="false">((F$19+F$49+F$60+F$80+F$91+F$95+F$96)/(1-($B$100)))*$B$102</f>
        <v>86.3412114528373</v>
      </c>
      <c r="G102" s="513" t="n">
        <f aca="false">((G$19+G$49+G$60+G$80+G$91+G$95+G$96)/(1-($B$100)))*$B$102</f>
        <v>109.688906842582</v>
      </c>
    </row>
    <row r="103" customFormat="false" ht="13.9" hidden="false" customHeight="true" outlineLevel="0" collapsed="false">
      <c r="A103" s="506" t="s">
        <v>451</v>
      </c>
      <c r="B103" s="507" t="n">
        <f aca="false">B104+B105</f>
        <v>0.1225</v>
      </c>
      <c r="C103" s="508" t="n">
        <f aca="false">((C19+C49+C60+C80+C91+C95+C96)/(1-($B$103)))*$B$103</f>
        <v>616.005673885507</v>
      </c>
      <c r="D103" s="508" t="n">
        <f aca="false">((D19+D49+D60+D80+D91+D95+D96)/(1-($B$103)))*$B$103</f>
        <v>551.422063921172</v>
      </c>
      <c r="E103" s="508" t="n">
        <f aca="false">((E19+E49+E60+E80+E91+E95+E96)/(1-($B$103)))*$B$103</f>
        <v>473.921161298896</v>
      </c>
      <c r="F103" s="508" t="n">
        <f aca="false">((F19+F49+F60+F80+F91+F95+F96)/(1-($B$103)))*$B$103</f>
        <v>425.482602421575</v>
      </c>
      <c r="G103" s="509" t="n">
        <f aca="false">((G19+G49+G60+G80+G91+G95+G96)/(1-($B$103)))*$B$103</f>
        <v>540.538182808019</v>
      </c>
    </row>
    <row r="104" customFormat="false" ht="13.9" hidden="false" customHeight="true" outlineLevel="0" collapsed="false">
      <c r="A104" s="443" t="s">
        <v>448</v>
      </c>
      <c r="B104" s="464" t="n">
        <f aca="false">0.0165+0.076</f>
        <v>0.0925</v>
      </c>
      <c r="C104" s="510" t="n">
        <f aca="false">((C19+C49+C60+C80+C91+C95+C96)/(1-($B$103)))*$B$104</f>
        <v>465.147141505383</v>
      </c>
      <c r="D104" s="510" t="n">
        <f aca="false">((D19+D49+D60+D80+D91+D95+D96)/(1-($B$103)))*$B$104</f>
        <v>416.379925818028</v>
      </c>
      <c r="E104" s="510" t="n">
        <f aca="false">((E19+E49+E60+E80+E91+E95+E96)/(1-($B$103)))*$B$104</f>
        <v>357.85883608284</v>
      </c>
      <c r="F104" s="510" t="n">
        <f aca="false">((F19+F49+F60+F80+F91+F95+F96)/(1-($B$103)))*$B$104</f>
        <v>321.282781420373</v>
      </c>
      <c r="G104" s="511" t="n">
        <f aca="false">((G19+G49+G60+G80+G91+G95+G96)/(1-($B$103)))*$B$104</f>
        <v>408.161484977483</v>
      </c>
    </row>
    <row r="105" customFormat="false" ht="13.9" hidden="false" customHeight="true" outlineLevel="0" collapsed="false">
      <c r="A105" s="443" t="s">
        <v>449</v>
      </c>
      <c r="B105" s="464" t="n">
        <v>0.03</v>
      </c>
      <c r="C105" s="512" t="n">
        <f aca="false">((C19+C49+C60+C80+C91+C95+C96)/(1-($B$103)))*$B$105</f>
        <v>150.858532380124</v>
      </c>
      <c r="D105" s="512" t="n">
        <f aca="false">((D19+D49+D60+D80+D91+D95+D96)/(1-($B$103)))*$B$105</f>
        <v>135.042138103144</v>
      </c>
      <c r="E105" s="512" t="n">
        <f aca="false">((E19+E49+E60+E80+E91+E95+E96)/(1-($B$103)))*$B$105</f>
        <v>116.062325216056</v>
      </c>
      <c r="F105" s="512" t="n">
        <f aca="false">((F19+F49+F60+F80+F91+F95+F96)/(1-($B$103)))*$B$105</f>
        <v>104.199821001202</v>
      </c>
      <c r="G105" s="513" t="n">
        <f aca="false">((G19+G49+G60+G80+G91+G95+G96)/(1-($B$103)))*$B$105</f>
        <v>132.376697830535</v>
      </c>
      <c r="H105" s="514"/>
    </row>
    <row r="106" customFormat="false" ht="13.9" hidden="false" customHeight="true" outlineLevel="0" collapsed="false">
      <c r="A106" s="506" t="s">
        <v>452</v>
      </c>
      <c r="B106" s="507" t="n">
        <f aca="false">B107+B108</f>
        <v>0.1275</v>
      </c>
      <c r="C106" s="508" t="n">
        <f aca="false">((C19+C49+C60+C80+C91+C95+C96)/(1-($B$106)))*$B$106</f>
        <v>644.822967558883</v>
      </c>
      <c r="D106" s="508" t="n">
        <f aca="false">((D19+D49+D60+D80+D91+D95+D96)/(1-($B$106)))*$B$106</f>
        <v>577.218078840589</v>
      </c>
      <c r="E106" s="508" t="n">
        <f aca="false">((E19+E49+E60+E80+E91+E95+E96)/(1-($B$106)))*$B$106</f>
        <v>496.09161501734</v>
      </c>
      <c r="F106" s="508" t="n">
        <f aca="false">((F19+F49+F60+F80+F91+F95+F96)/(1-($B$106)))*$B$106</f>
        <v>445.387057245109</v>
      </c>
      <c r="G106" s="509" t="n">
        <f aca="false">((G19+G49+G60+G80+G91+G95+G96)/(1-($B$106)))*$B$106</f>
        <v>565.825040082237</v>
      </c>
      <c r="H106" s="514"/>
    </row>
    <row r="107" customFormat="false" ht="13.9" hidden="false" customHeight="true" outlineLevel="0" collapsed="false">
      <c r="A107" s="443" t="s">
        <v>448</v>
      </c>
      <c r="B107" s="464" t="n">
        <f aca="false">0.0165+0.076</f>
        <v>0.0925</v>
      </c>
      <c r="C107" s="510" t="n">
        <f aca="false">((C19+C49+C60+C80+C91+C95+C96)/(1-($B$106)))*$B$107</f>
        <v>467.81274117017</v>
      </c>
      <c r="D107" s="510" t="n">
        <f aca="false">((D19+D49+D60+D80+D91+D95+D96)/(1-($B$106)))*$B$107</f>
        <v>418.766057198074</v>
      </c>
      <c r="E107" s="510" t="n">
        <f aca="false">((E19+E49+E60+E80+E91+E95+E96)/(1-($B$106)))*$B$107</f>
        <v>359.909603051796</v>
      </c>
      <c r="F107" s="510" t="n">
        <f aca="false">((F19+F49+F60+F80+F91+F95+F96)/(1-($B$106)))*$B$107</f>
        <v>323.123943491549</v>
      </c>
      <c r="G107" s="511" t="n">
        <f aca="false">((G19+G49+G60+G80+G91+G95+G96)/(1-($B$106)))*$B$107</f>
        <v>410.500519275349</v>
      </c>
      <c r="H107" s="514"/>
    </row>
    <row r="108" customFormat="false" ht="13.9" hidden="false" customHeight="true" outlineLevel="0" collapsed="false">
      <c r="A108" s="443" t="s">
        <v>449</v>
      </c>
      <c r="B108" s="464" t="n">
        <v>0.035</v>
      </c>
      <c r="C108" s="512" t="n">
        <f aca="false">((C19+C49+C60+C80+C91+C95+C96)/(1-($B$106)))*$B$108</f>
        <v>177.010226388713</v>
      </c>
      <c r="D108" s="512" t="n">
        <f aca="false">((D19+D49+D60+D80+D91+D95+D96)/(1-($B$106)))*$B$108</f>
        <v>158.452021642515</v>
      </c>
      <c r="E108" s="512" t="n">
        <f aca="false">((E19+E49+E60+E80+E91+E95+E96)/(1-($B$106)))*$B$108</f>
        <v>136.182011965544</v>
      </c>
      <c r="F108" s="512" t="n">
        <f aca="false">((F19+F49+F60+F80+F91+F95+F96)/(1-($B$106)))*$B$108</f>
        <v>122.263113753559</v>
      </c>
      <c r="G108" s="513" t="n">
        <f aca="false">((G19+G49+G60+G80+G91+G95+G96)/(1-($B$106)))*$B$108</f>
        <v>155.324520806889</v>
      </c>
      <c r="H108" s="514"/>
    </row>
    <row r="109" customFormat="false" ht="13.9" hidden="false" customHeight="true" outlineLevel="0" collapsed="false">
      <c r="A109" s="506" t="s">
        <v>453</v>
      </c>
      <c r="B109" s="507" t="n">
        <f aca="false">B110+B111</f>
        <v>0.1325</v>
      </c>
      <c r="C109" s="508" t="n">
        <f aca="false">((C19+C49+C60+C80+C91+C95+C96)/(1-($B$109)))*$B$109</f>
        <v>673.972449055583</v>
      </c>
      <c r="D109" s="508" t="n">
        <f aca="false">((D19+D49+D60+D80+D91+D95+D96)/(1-($B$109)))*$B$109</f>
        <v>603.311454162534</v>
      </c>
      <c r="E109" s="508" t="n">
        <f aca="false">((E19+E49+E60+E80+E91+E95+E96)/(1-($B$109)))*$B$109</f>
        <v>518.517635925623</v>
      </c>
      <c r="F109" s="508" t="n">
        <f aca="false">((F19+F49+F60+F80+F91+F95+F96)/(1-($B$109)))*$B$109</f>
        <v>465.520958233756</v>
      </c>
      <c r="G109" s="509" t="n">
        <f aca="false">((G19+G49+G60+G80+G91+G95+G96)/(1-($B$109)))*$B$109</f>
        <v>591.403388506591</v>
      </c>
    </row>
    <row r="110" customFormat="false" ht="13.9" hidden="false" customHeight="true" outlineLevel="0" collapsed="false">
      <c r="A110" s="443" t="s">
        <v>448</v>
      </c>
      <c r="B110" s="464" t="n">
        <f aca="false">0.0165+0.076</f>
        <v>0.0925</v>
      </c>
      <c r="C110" s="510" t="n">
        <f aca="false">((C19+C49+C60+C80+C91+C95+C96)/(1-($B$109)))*$B$110</f>
        <v>470.509068208615</v>
      </c>
      <c r="D110" s="510" t="n">
        <f aca="false">((D19+D49+D60+D80+D91+D95+D96)/(1-($B$109)))*$B$110</f>
        <v>421.179694415354</v>
      </c>
      <c r="E110" s="510" t="n">
        <f aca="false">((E19+E49+E60+E80+E91+E95+E96)/(1-($B$109)))*$B$110</f>
        <v>361.984009985812</v>
      </c>
      <c r="F110" s="510" t="n">
        <f aca="false">((F19+F49+F60+F80+F91+F95+F96)/(1-($B$109)))*$B$110</f>
        <v>324.986329332999</v>
      </c>
      <c r="G110" s="511" t="n">
        <f aca="false">((G19+G49+G60+G80+G91+G95+G96)/(1-($B$109)))*$B$110</f>
        <v>412.866516504602</v>
      </c>
    </row>
    <row r="111" customFormat="false" ht="13.9" hidden="false" customHeight="true" outlineLevel="0" collapsed="false">
      <c r="A111" s="443" t="s">
        <v>449</v>
      </c>
      <c r="B111" s="464" t="n">
        <v>0.04</v>
      </c>
      <c r="C111" s="512" t="n">
        <f aca="false">((C19+C49+C60+C80+C91+C95+C96)/(1-($B$109)))*$B$111</f>
        <v>203.463380846968</v>
      </c>
      <c r="D111" s="512" t="n">
        <f aca="false">((D19+D49+D60+D80+D91+D95+D96)/(1-($B$109)))*$B$111</f>
        <v>182.13175974718</v>
      </c>
      <c r="E111" s="512" t="n">
        <f aca="false">((E19+E49+E60+E80+E91+E95+E96)/(1-($B$109)))*$B$111</f>
        <v>156.533625939811</v>
      </c>
      <c r="F111" s="512" t="n">
        <f aca="false">((F19+F49+F60+F80+F91+F95+F96)/(1-($B$109)))*$B$111</f>
        <v>140.534628900757</v>
      </c>
      <c r="G111" s="513" t="n">
        <f aca="false">((G19+G49+G60+G80+G91+G95+G96)/(1-($B$109)))*$B$111</f>
        <v>178.53687200199</v>
      </c>
    </row>
    <row r="112" customFormat="false" ht="13.9" hidden="false" customHeight="true" outlineLevel="0" collapsed="false">
      <c r="A112" s="506" t="s">
        <v>454</v>
      </c>
      <c r="B112" s="507" t="n">
        <f aca="false">B113+B114</f>
        <v>0.1425</v>
      </c>
      <c r="C112" s="508" t="n">
        <f aca="false">((C19+C49+C60+C80+C91+C95+C96)/(1-($B$112)))*$B$112</f>
        <v>733.291218981813</v>
      </c>
      <c r="D112" s="508" t="n">
        <f aca="false">((D19+D49+D60+D80+D91+D95+D96)/(1-($B$112)))*$B$112</f>
        <v>656.411092572791</v>
      </c>
      <c r="E112" s="508" t="n">
        <f aca="false">((E19+E49+E60+E80+E91+E95+E96)/(1-($B$112)))*$B$112</f>
        <v>564.154261564052</v>
      </c>
      <c r="F112" s="508" t="n">
        <f aca="false">((F19+F49+F60+F80+F91+F95+F96)/(1-($B$112)))*$B$112</f>
        <v>506.493153248554</v>
      </c>
      <c r="G112" s="509" t="n">
        <f aca="false">((G19+G49+G60+G80+G91+G95+G96)/(1-($B$112)))*$B$112</f>
        <v>643.454954687929</v>
      </c>
    </row>
    <row r="113" customFormat="false" ht="13.9" hidden="false" customHeight="true" outlineLevel="0" collapsed="false">
      <c r="A113" s="443" t="s">
        <v>448</v>
      </c>
      <c r="B113" s="464" t="n">
        <f aca="false">0.0165+0.076</f>
        <v>0.0925</v>
      </c>
      <c r="C113" s="515" t="n">
        <f aca="false">((C19+C49+C60+C80+C91+C95+C96)/(1-($B$112)))*$B$113</f>
        <v>475.996054426791</v>
      </c>
      <c r="D113" s="515" t="n">
        <f aca="false">((D19+D49+D60+D80+D91+D95+D96)/(1-($B$112)))*$B$113</f>
        <v>426.091410968303</v>
      </c>
      <c r="E113" s="515" t="n">
        <f aca="false">((E19+E49+E60+E80+E91+E95+E96)/(1-($B$112)))*$B$113</f>
        <v>366.205397857367</v>
      </c>
      <c r="F113" s="515" t="n">
        <f aca="false">((F19+F49+F60+F80+F91+F95+F96)/(1-($B$112)))*$B$113</f>
        <v>328.776257371868</v>
      </c>
      <c r="G113" s="516" t="n">
        <f aca="false">((G19+G49+G60+G80+G91+G95+G96)/(1-($B$112)))*$B$113</f>
        <v>417.681286376375</v>
      </c>
    </row>
    <row r="114" customFormat="false" ht="15.75" hidden="false" customHeight="true" outlineLevel="0" collapsed="false">
      <c r="A114" s="443" t="s">
        <v>449</v>
      </c>
      <c r="B114" s="517" t="n">
        <v>0.05</v>
      </c>
      <c r="C114" s="518" t="n">
        <f aca="false">((C19+C49+C60+C80+C91+C95+C96)/(1-($B$112)))*$B$114</f>
        <v>257.295164555022</v>
      </c>
      <c r="D114" s="518" t="n">
        <f aca="false">((D19+D49+D60+D80+D91+D95+D96)/(1-($B$112)))*$B$114</f>
        <v>230.319681604488</v>
      </c>
      <c r="E114" s="518" t="n">
        <f aca="false">((E19+E49+E60+E80+E91+E95+E96)/(1-($B$112)))*$B$114</f>
        <v>197.948863706685</v>
      </c>
      <c r="F114" s="518" t="n">
        <f aca="false">((F19+F49+F60+F80+F91+F95+F96)/(1-($B$112)))*$B$114</f>
        <v>177.716895876686</v>
      </c>
      <c r="G114" s="519" t="n">
        <f aca="false">((G19+G49+G60+G80+G91+G95+G96)/(1-($B$112)))*$B$114</f>
        <v>225.773668311554</v>
      </c>
    </row>
    <row r="115" customFormat="false" ht="15.75" hidden="false" customHeight="true" outlineLevel="0" collapsed="false">
      <c r="A115" s="520" t="s">
        <v>455</v>
      </c>
      <c r="B115" s="521" t="n">
        <v>0.02</v>
      </c>
      <c r="C115" s="522" t="n">
        <f aca="false">C95+C96+C97</f>
        <v>960.261983521453</v>
      </c>
      <c r="D115" s="522" t="n">
        <f aca="false">D95+D96+D97</f>
        <v>859.585661798394</v>
      </c>
      <c r="E115" s="522" t="n">
        <f aca="false">E95+E96+E97</f>
        <v>738.773186148044</v>
      </c>
      <c r="F115" s="522" t="n">
        <f aca="false">F95+F96+F97</f>
        <v>663.264617642386</v>
      </c>
      <c r="G115" s="523" t="n">
        <f aca="false">G95+G96+G97</f>
        <v>842.619296537168</v>
      </c>
    </row>
    <row r="116" customFormat="false" ht="15.75" hidden="false" customHeight="true" outlineLevel="0" collapsed="false">
      <c r="A116" s="520"/>
      <c r="B116" s="524" t="n">
        <v>0.025</v>
      </c>
      <c r="C116" s="525" t="n">
        <f aca="false">C95+C96+C100</f>
        <v>988.431713064564</v>
      </c>
      <c r="D116" s="525" t="n">
        <f aca="false">D95+D96+D100</f>
        <v>884.80200486677</v>
      </c>
      <c r="E116" s="525" t="n">
        <f aca="false">E95+E96+E100</f>
        <v>760.44543935042</v>
      </c>
      <c r="F116" s="525" t="n">
        <f aca="false">F95+F96+F100</f>
        <v>682.721792054293</v>
      </c>
      <c r="G116" s="526" t="n">
        <f aca="false">G95+G96+G100</f>
        <v>867.337923431271</v>
      </c>
    </row>
    <row r="117" customFormat="false" ht="15.75" hidden="false" customHeight="true" outlineLevel="0" collapsed="false">
      <c r="A117" s="520"/>
      <c r="B117" s="524" t="n">
        <v>0.03</v>
      </c>
      <c r="C117" s="525" t="n">
        <f aca="false">C95+C96+C103</f>
        <v>1016.92246516657</v>
      </c>
      <c r="D117" s="525" t="n">
        <f aca="false">D95+D96+D103</f>
        <v>910.305713668119</v>
      </c>
      <c r="E117" s="525" t="n">
        <f aca="false">E95+E96+E103</f>
        <v>782.364669797267</v>
      </c>
      <c r="F117" s="525" t="n">
        <f aca="false">F95+F96+F103</f>
        <v>702.400700647533</v>
      </c>
      <c r="G117" s="526" t="n">
        <f aca="false">G95+G96+G103</f>
        <v>892.338244079153</v>
      </c>
      <c r="H117" s="514"/>
    </row>
    <row r="118" customFormat="false" ht="24.75" hidden="false" customHeight="true" outlineLevel="0" collapsed="false">
      <c r="A118" s="520"/>
      <c r="B118" s="527" t="n">
        <v>0.035</v>
      </c>
      <c r="C118" s="525" t="n">
        <f aca="false">C95+C96+C106</f>
        <v>1045.73975883995</v>
      </c>
      <c r="D118" s="525" t="n">
        <f aca="false">D95+D96+D106</f>
        <v>936.101728587535</v>
      </c>
      <c r="E118" s="525" t="n">
        <f aca="false">E95+E96+E106</f>
        <v>804.535123515711</v>
      </c>
      <c r="F118" s="525" t="n">
        <f aca="false">F95+F96+F106</f>
        <v>722.305155471067</v>
      </c>
      <c r="G118" s="526" t="n">
        <f aca="false">G95+G96+G106</f>
        <v>917.625101353372</v>
      </c>
      <c r="H118" s="514"/>
    </row>
    <row r="119" customFormat="false" ht="15.75" hidden="false" customHeight="true" outlineLevel="0" collapsed="false">
      <c r="A119" s="520"/>
      <c r="B119" s="524" t="n">
        <v>0.04</v>
      </c>
      <c r="C119" s="525" t="n">
        <f aca="false">C95+C96+C109</f>
        <v>1074.88924033665</v>
      </c>
      <c r="D119" s="525" t="n">
        <f aca="false">D95+D96+D109</f>
        <v>962.195103909481</v>
      </c>
      <c r="E119" s="525" t="n">
        <f aca="false">E95+E96+E109</f>
        <v>826.961144423994</v>
      </c>
      <c r="F119" s="525" t="n">
        <f aca="false">F95+F96+F109</f>
        <v>742.439056459714</v>
      </c>
      <c r="G119" s="526" t="n">
        <f aca="false">G95+G96+G109</f>
        <v>943.203449777726</v>
      </c>
    </row>
    <row r="120" customFormat="false" ht="15.75" hidden="false" customHeight="true" outlineLevel="0" collapsed="false">
      <c r="A120" s="520"/>
      <c r="B120" s="528" t="n">
        <v>0.05</v>
      </c>
      <c r="C120" s="529" t="n">
        <f aca="false">C95+C96+C112</f>
        <v>1134.20801026288</v>
      </c>
      <c r="D120" s="529" t="n">
        <f aca="false">D95+D96+D112</f>
        <v>1015.29474231974</v>
      </c>
      <c r="E120" s="529" t="n">
        <f aca="false">E95+E96+E112</f>
        <v>872.597770062423</v>
      </c>
      <c r="F120" s="529" t="n">
        <f aca="false">F95+F96+F112</f>
        <v>783.411251474512</v>
      </c>
      <c r="G120" s="530" t="n">
        <f aca="false">G95+G96+G112</f>
        <v>995.255015959064</v>
      </c>
    </row>
    <row r="121" customFormat="false" ht="14.25" hidden="false" customHeight="true" outlineLevel="0" collapsed="false">
      <c r="A121" s="443" t="s">
        <v>456</v>
      </c>
      <c r="B121" s="531"/>
      <c r="C121" s="532"/>
      <c r="D121" s="532"/>
      <c r="E121" s="532"/>
      <c r="F121" s="532"/>
      <c r="G121" s="533"/>
    </row>
    <row r="122" customFormat="false" ht="15.75" hidden="false" customHeight="true" outlineLevel="0" collapsed="false">
      <c r="A122" s="534"/>
      <c r="B122" s="534"/>
      <c r="C122" s="534"/>
      <c r="D122" s="534"/>
      <c r="E122" s="534"/>
      <c r="F122" s="534"/>
      <c r="G122" s="534"/>
    </row>
    <row r="123" customFormat="false" ht="12" hidden="false" customHeight="true" outlineLevel="0" collapsed="false">
      <c r="A123" s="535"/>
      <c r="B123" s="535"/>
      <c r="C123" s="535"/>
      <c r="D123" s="535"/>
      <c r="E123" s="535"/>
      <c r="F123" s="535"/>
      <c r="G123" s="535"/>
    </row>
    <row r="124" customFormat="false" ht="11.25" hidden="false" customHeight="true" outlineLevel="0" collapsed="false">
      <c r="A124" s="536"/>
      <c r="B124" s="536"/>
      <c r="C124" s="536"/>
      <c r="D124" s="536"/>
      <c r="E124" s="536"/>
      <c r="F124" s="536"/>
      <c r="G124" s="536"/>
    </row>
    <row r="125" customFormat="false" ht="57.75" hidden="false" customHeight="true" outlineLevel="0" collapsed="false">
      <c r="A125" s="537" t="s">
        <v>457</v>
      </c>
      <c r="B125" s="537"/>
      <c r="C125" s="538" t="str">
        <f aca="false">C10</f>
        <v>Servente 40h (banheirista)
(insalubridade 40%)</v>
      </c>
      <c r="D125" s="538" t="str">
        <f aca="false">D10</f>
        <v>Servente 40h
(insalubridade 20%)</v>
      </c>
      <c r="E125" s="538" t="str">
        <f aca="false">E10</f>
        <v>Servente 30h (banheirista)
(insalubridade 40%)</v>
      </c>
      <c r="F125" s="538" t="str">
        <f aca="false">F10</f>
        <v>Servente 30h
(insalubridade 20%)</v>
      </c>
      <c r="G125" s="539" t="str">
        <f aca="false">G10</f>
        <v>Encarregada 40h</v>
      </c>
    </row>
    <row r="126" customFormat="false" ht="14.25" hidden="false" customHeight="true" outlineLevel="0" collapsed="false">
      <c r="A126" s="540" t="s">
        <v>458</v>
      </c>
      <c r="B126" s="540"/>
      <c r="C126" s="541" t="s">
        <v>383</v>
      </c>
      <c r="D126" s="541" t="s">
        <v>383</v>
      </c>
      <c r="E126" s="541" t="s">
        <v>383</v>
      </c>
      <c r="F126" s="541" t="s">
        <v>383</v>
      </c>
      <c r="G126" s="542" t="s">
        <v>383</v>
      </c>
    </row>
    <row r="127" customFormat="false" ht="15.75" hidden="false" customHeight="true" outlineLevel="0" collapsed="false">
      <c r="A127" s="543" t="s">
        <v>459</v>
      </c>
      <c r="B127" s="543"/>
      <c r="C127" s="544" t="n">
        <f aca="false">C19</f>
        <v>1672.47818181818</v>
      </c>
      <c r="D127" s="544" t="n">
        <f aca="false">D19</f>
        <v>1433.55272727273</v>
      </c>
      <c r="E127" s="544" t="n">
        <f aca="false">E19</f>
        <v>1254.35863636364</v>
      </c>
      <c r="F127" s="544" t="n">
        <f aca="false">F19</f>
        <v>1075.16454545455</v>
      </c>
      <c r="G127" s="545" t="n">
        <f aca="false">G19</f>
        <v>1673.91173454545</v>
      </c>
    </row>
    <row r="128" customFormat="false" ht="15.75" hidden="false" customHeight="true" outlineLevel="0" collapsed="false">
      <c r="A128" s="546" t="s">
        <v>460</v>
      </c>
      <c r="B128" s="546"/>
      <c r="C128" s="547" t="n">
        <f aca="false">C49</f>
        <v>1342.99772727273</v>
      </c>
      <c r="D128" s="547" t="n">
        <f aca="false">D49</f>
        <v>1218.78090909091</v>
      </c>
      <c r="E128" s="547" t="n">
        <f aca="false">E49</f>
        <v>963.703295454545</v>
      </c>
      <c r="F128" s="547" t="n">
        <f aca="false">F49</f>
        <v>870.535681818182</v>
      </c>
      <c r="G128" s="548" t="n">
        <f aca="false">G49</f>
        <v>1314.99754818182</v>
      </c>
    </row>
    <row r="129" customFormat="false" ht="15.75" hidden="false" customHeight="true" outlineLevel="0" collapsed="false">
      <c r="A129" s="546" t="s">
        <v>461</v>
      </c>
      <c r="B129" s="546"/>
      <c r="C129" s="547" t="n">
        <f aca="false">C60</f>
        <v>109.547320909091</v>
      </c>
      <c r="D129" s="547" t="n">
        <f aca="false">D60</f>
        <v>93.8977036363636</v>
      </c>
      <c r="E129" s="547" t="n">
        <f aca="false">E60</f>
        <v>82.1604906818182</v>
      </c>
      <c r="F129" s="547" t="n">
        <f aca="false">F60</f>
        <v>70.4232777272727</v>
      </c>
      <c r="G129" s="548" t="n">
        <f aca="false">G60</f>
        <v>109.641218612727</v>
      </c>
    </row>
    <row r="130" customFormat="false" ht="15.75" hidden="false" customHeight="true" outlineLevel="0" collapsed="false">
      <c r="A130" s="546" t="s">
        <v>462</v>
      </c>
      <c r="B130" s="546"/>
      <c r="C130" s="547" t="n">
        <f aca="false">C80</f>
        <v>339.928044019383</v>
      </c>
      <c r="D130" s="547" t="n">
        <f aca="false">D80</f>
        <v>298.123542951841</v>
      </c>
      <c r="E130" s="547" t="n">
        <f aca="false">E80</f>
        <v>250.633074753092</v>
      </c>
      <c r="F130" s="547" t="n">
        <f aca="false">F80</f>
        <v>219.279154241017</v>
      </c>
      <c r="G130" s="548" t="n">
        <f aca="false">G69</f>
        <v>308.810601920218</v>
      </c>
    </row>
    <row r="131" customFormat="false" ht="15.75" hidden="false" customHeight="true" outlineLevel="0" collapsed="false">
      <c r="A131" s="546" t="s">
        <v>463</v>
      </c>
      <c r="B131" s="546"/>
      <c r="C131" s="547" t="n">
        <f aca="false">C91</f>
        <v>546.744006818182</v>
      </c>
      <c r="D131" s="547" t="n">
        <f aca="false">D91</f>
        <v>546.744006818182</v>
      </c>
      <c r="E131" s="547" t="n">
        <f aca="false">E91</f>
        <v>535.524006818182</v>
      </c>
      <c r="F131" s="547" t="n">
        <f aca="false">F91</f>
        <v>535.524006818182</v>
      </c>
      <c r="G131" s="548" t="n">
        <f aca="false">G91</f>
        <v>84.35375</v>
      </c>
    </row>
    <row r="132" customFormat="false" ht="15.75" hidden="false" customHeight="true" outlineLevel="0" collapsed="false">
      <c r="A132" s="549" t="s">
        <v>464</v>
      </c>
      <c r="B132" s="549"/>
      <c r="C132" s="550" t="n">
        <f aca="false">SUM(C127:C131)</f>
        <v>4011.69528083756</v>
      </c>
      <c r="D132" s="550" t="n">
        <f aca="false">SUM(D127:D131)</f>
        <v>3591.09888977002</v>
      </c>
      <c r="E132" s="550" t="n">
        <f aca="false">SUM(E127:E131)</f>
        <v>3086.37950407127</v>
      </c>
      <c r="F132" s="550" t="n">
        <f aca="false">SUM(F127:F131)</f>
        <v>2770.9266660592</v>
      </c>
      <c r="G132" s="551" t="n">
        <f aca="false">SUM(G127:G131)</f>
        <v>3491.71485326022</v>
      </c>
    </row>
    <row r="133" customFormat="false" ht="15.75" hidden="false" customHeight="true" outlineLevel="0" collapsed="false">
      <c r="A133" s="552" t="s">
        <v>465</v>
      </c>
      <c r="B133" s="552"/>
      <c r="C133" s="553" t="n">
        <f aca="false">C115</f>
        <v>960.261983521453</v>
      </c>
      <c r="D133" s="553" t="n">
        <f aca="false">D115</f>
        <v>859.585661798394</v>
      </c>
      <c r="E133" s="553" t="n">
        <f aca="false">E115</f>
        <v>738.773186148044</v>
      </c>
      <c r="F133" s="553" t="n">
        <f aca="false">F115</f>
        <v>663.264617642386</v>
      </c>
      <c r="G133" s="554" t="n">
        <f aca="false">G115</f>
        <v>842.619296537168</v>
      </c>
    </row>
    <row r="134" customFormat="false" ht="15.75" hidden="false" customHeight="true" outlineLevel="0" collapsed="false">
      <c r="A134" s="546" t="s">
        <v>466</v>
      </c>
      <c r="B134" s="546"/>
      <c r="C134" s="555" t="n">
        <f aca="false">C116</f>
        <v>988.431713064564</v>
      </c>
      <c r="D134" s="555" t="n">
        <f aca="false">D116</f>
        <v>884.80200486677</v>
      </c>
      <c r="E134" s="555" t="n">
        <f aca="false">E116</f>
        <v>760.44543935042</v>
      </c>
      <c r="F134" s="555" t="n">
        <f aca="false">F116</f>
        <v>682.721792054293</v>
      </c>
      <c r="G134" s="556" t="n">
        <f aca="false">G116</f>
        <v>867.337923431271</v>
      </c>
    </row>
    <row r="135" customFormat="false" ht="15.75" hidden="false" customHeight="true" outlineLevel="0" collapsed="false">
      <c r="A135" s="546" t="s">
        <v>467</v>
      </c>
      <c r="B135" s="546"/>
      <c r="C135" s="555" t="n">
        <f aca="false">C117</f>
        <v>1016.92246516657</v>
      </c>
      <c r="D135" s="555" t="n">
        <f aca="false">D117</f>
        <v>910.305713668119</v>
      </c>
      <c r="E135" s="555" t="n">
        <f aca="false">E117</f>
        <v>782.364669797267</v>
      </c>
      <c r="F135" s="555" t="n">
        <f aca="false">F117</f>
        <v>702.400700647533</v>
      </c>
      <c r="G135" s="556" t="n">
        <f aca="false">G117</f>
        <v>892.338244079153</v>
      </c>
    </row>
    <row r="136" customFormat="false" ht="15.75" hidden="false" customHeight="true" outlineLevel="0" collapsed="false">
      <c r="A136" s="546" t="s">
        <v>468</v>
      </c>
      <c r="B136" s="546"/>
      <c r="C136" s="555" t="n">
        <f aca="false">C118</f>
        <v>1045.73975883995</v>
      </c>
      <c r="D136" s="555" t="n">
        <f aca="false">D118</f>
        <v>936.101728587535</v>
      </c>
      <c r="E136" s="555" t="n">
        <f aca="false">E118</f>
        <v>804.535123515711</v>
      </c>
      <c r="F136" s="555" t="n">
        <f aca="false">F118</f>
        <v>722.305155471067</v>
      </c>
      <c r="G136" s="556" t="n">
        <f aca="false">G118</f>
        <v>917.625101353372</v>
      </c>
    </row>
    <row r="137" customFormat="false" ht="15.75" hidden="false" customHeight="true" outlineLevel="0" collapsed="false">
      <c r="A137" s="546" t="s">
        <v>469</v>
      </c>
      <c r="B137" s="546"/>
      <c r="C137" s="555" t="n">
        <f aca="false">C119</f>
        <v>1074.88924033665</v>
      </c>
      <c r="D137" s="555" t="n">
        <f aca="false">D119</f>
        <v>962.195103909481</v>
      </c>
      <c r="E137" s="555" t="n">
        <f aca="false">E119</f>
        <v>826.961144423994</v>
      </c>
      <c r="F137" s="555" t="n">
        <f aca="false">F119</f>
        <v>742.439056459714</v>
      </c>
      <c r="G137" s="556" t="n">
        <f aca="false">G119</f>
        <v>943.203449777726</v>
      </c>
    </row>
    <row r="138" customFormat="false" ht="15.75" hidden="false" customHeight="true" outlineLevel="0" collapsed="false">
      <c r="A138" s="552" t="s">
        <v>470</v>
      </c>
      <c r="B138" s="552"/>
      <c r="C138" s="555" t="n">
        <f aca="false">C120</f>
        <v>1134.20801026288</v>
      </c>
      <c r="D138" s="555" t="n">
        <f aca="false">D120</f>
        <v>1015.29474231974</v>
      </c>
      <c r="E138" s="555" t="n">
        <f aca="false">E120</f>
        <v>872.597770062423</v>
      </c>
      <c r="F138" s="555" t="n">
        <f aca="false">F120</f>
        <v>783.411251474512</v>
      </c>
      <c r="G138" s="556" t="n">
        <f aca="false">G120</f>
        <v>995.255015959064</v>
      </c>
    </row>
    <row r="139" customFormat="false" ht="15.75" hidden="false" customHeight="true" outlineLevel="0" collapsed="false">
      <c r="A139" s="557" t="s">
        <v>471</v>
      </c>
      <c r="B139" s="558"/>
      <c r="C139" s="559" t="n">
        <f aca="false">C132+C133</f>
        <v>4971.95726435902</v>
      </c>
      <c r="D139" s="559" t="n">
        <f aca="false">D132+D133</f>
        <v>4450.68455156842</v>
      </c>
      <c r="E139" s="559" t="n">
        <f aca="false">E132+E133</f>
        <v>3825.15269021932</v>
      </c>
      <c r="F139" s="559" t="n">
        <f aca="false">F132+F133</f>
        <v>3434.19128370158</v>
      </c>
      <c r="G139" s="560" t="n">
        <f aca="false">G132+G133</f>
        <v>4334.33414979739</v>
      </c>
    </row>
    <row r="140" customFormat="false" ht="15.75" hidden="false" customHeight="true" outlineLevel="0" collapsed="false">
      <c r="A140" s="561" t="s">
        <v>472</v>
      </c>
      <c r="B140" s="562"/>
      <c r="C140" s="563" t="n">
        <f aca="false">C132+C134</f>
        <v>5000.12699390213</v>
      </c>
      <c r="D140" s="563" t="n">
        <f aca="false">D132+D134</f>
        <v>4475.90089463679</v>
      </c>
      <c r="E140" s="563" t="n">
        <f aca="false">E132+E134</f>
        <v>3846.82494342169</v>
      </c>
      <c r="F140" s="563" t="n">
        <f aca="false">F132+F134</f>
        <v>3453.64845811349</v>
      </c>
      <c r="G140" s="564" t="n">
        <f aca="false">G132+G134</f>
        <v>4359.05277669149</v>
      </c>
    </row>
    <row r="141" customFormat="false" ht="15.75" hidden="false" customHeight="true" outlineLevel="0" collapsed="false">
      <c r="A141" s="561" t="s">
        <v>473</v>
      </c>
      <c r="B141" s="562"/>
      <c r="C141" s="563" t="n">
        <f aca="false">C132+C135</f>
        <v>5028.61774600414</v>
      </c>
      <c r="D141" s="563" t="n">
        <f aca="false">D132+D135</f>
        <v>4501.40460343814</v>
      </c>
      <c r="E141" s="563" t="n">
        <f aca="false">E132+E135</f>
        <v>3868.74417386854</v>
      </c>
      <c r="F141" s="563" t="n">
        <f aca="false">F132+F135</f>
        <v>3473.32736670673</v>
      </c>
      <c r="G141" s="564" t="n">
        <f aca="false">G132+G135</f>
        <v>4384.05309733937</v>
      </c>
    </row>
    <row r="142" customFormat="false" ht="15.75" hidden="false" customHeight="true" outlineLevel="0" collapsed="false">
      <c r="A142" s="561" t="s">
        <v>474</v>
      </c>
      <c r="B142" s="562"/>
      <c r="C142" s="563" t="n">
        <f aca="false">C132+C136</f>
        <v>5057.43503967751</v>
      </c>
      <c r="D142" s="563" t="n">
        <f aca="false">D132+D136</f>
        <v>4527.20061835756</v>
      </c>
      <c r="E142" s="563" t="n">
        <f aca="false">E132+E136</f>
        <v>3890.91462758698</v>
      </c>
      <c r="F142" s="563" t="n">
        <f aca="false">F132+F136</f>
        <v>3493.23182153027</v>
      </c>
      <c r="G142" s="564" t="n">
        <f aca="false">G132+G136</f>
        <v>4409.33995461359</v>
      </c>
    </row>
    <row r="143" customFormat="false" ht="15.75" hidden="false" customHeight="true" outlineLevel="0" collapsed="false">
      <c r="A143" s="561" t="s">
        <v>475</v>
      </c>
      <c r="B143" s="562"/>
      <c r="C143" s="563" t="n">
        <f aca="false">C132+C137</f>
        <v>5086.58452117421</v>
      </c>
      <c r="D143" s="563" t="n">
        <f aca="false">D132+D137</f>
        <v>4553.2939936795</v>
      </c>
      <c r="E143" s="563" t="n">
        <f aca="false">E132+E137</f>
        <v>3913.34064849527</v>
      </c>
      <c r="F143" s="563" t="n">
        <f aca="false">F132+F137</f>
        <v>3513.36572251891</v>
      </c>
      <c r="G143" s="564" t="n">
        <f aca="false">G132+G137</f>
        <v>4434.91830303794</v>
      </c>
    </row>
    <row r="144" customFormat="false" ht="13.9" hidden="false" customHeight="true" outlineLevel="0" collapsed="false">
      <c r="A144" s="565" t="s">
        <v>476</v>
      </c>
      <c r="B144" s="566"/>
      <c r="C144" s="567" t="n">
        <f aca="false">C132+C138</f>
        <v>5145.90329110044</v>
      </c>
      <c r="D144" s="567" t="n">
        <f aca="false">D132+D138</f>
        <v>4606.39363208976</v>
      </c>
      <c r="E144" s="567" t="n">
        <f aca="false">E132+E138</f>
        <v>3958.9772741337</v>
      </c>
      <c r="F144" s="567" t="n">
        <f aca="false">F132+F138</f>
        <v>3554.33791753371</v>
      </c>
      <c r="G144" s="568" t="n">
        <f aca="false">G132+G138</f>
        <v>4486.96986921928</v>
      </c>
    </row>
    <row r="145" customFormat="false" ht="14.25" hidden="false" customHeight="true" outlineLevel="0" collapsed="false">
      <c r="A145" s="569"/>
    </row>
    <row r="146" customFormat="false" ht="26.1" hidden="false" customHeight="true" outlineLevel="0" collapsed="false">
      <c r="A146" s="570" t="s">
        <v>477</v>
      </c>
      <c r="B146" s="570"/>
      <c r="C146" s="570" t="s">
        <v>478</v>
      </c>
      <c r="D146" s="570"/>
      <c r="E146" s="571" t="s">
        <v>479</v>
      </c>
      <c r="F146" s="571"/>
      <c r="G146" s="571" t="s">
        <v>480</v>
      </c>
      <c r="H146" s="571"/>
      <c r="I146" s="571" t="s">
        <v>481</v>
      </c>
      <c r="J146" s="571"/>
      <c r="K146" s="570" t="s">
        <v>482</v>
      </c>
      <c r="L146" s="570"/>
      <c r="M146" s="570" t="s">
        <v>483</v>
      </c>
      <c r="N146" s="570"/>
    </row>
    <row r="147" customFormat="false" ht="38.25" hidden="false" customHeight="false" outlineLevel="0" collapsed="false">
      <c r="A147" s="572" t="s">
        <v>484</v>
      </c>
      <c r="B147" s="573" t="s">
        <v>485</v>
      </c>
      <c r="C147" s="573" t="s">
        <v>486</v>
      </c>
      <c r="D147" s="573" t="s">
        <v>487</v>
      </c>
      <c r="E147" s="573" t="s">
        <v>486</v>
      </c>
      <c r="F147" s="573" t="s">
        <v>487</v>
      </c>
      <c r="G147" s="573" t="s">
        <v>486</v>
      </c>
      <c r="H147" s="573" t="s">
        <v>487</v>
      </c>
      <c r="I147" s="573" t="s">
        <v>486</v>
      </c>
      <c r="J147" s="573" t="s">
        <v>487</v>
      </c>
      <c r="K147" s="573" t="s">
        <v>486</v>
      </c>
      <c r="L147" s="573" t="s">
        <v>487</v>
      </c>
      <c r="M147" s="573" t="s">
        <v>486</v>
      </c>
      <c r="N147" s="573" t="s">
        <v>487</v>
      </c>
    </row>
    <row r="148" customFormat="false" ht="15.95" hidden="false" customHeight="true" outlineLevel="0" collapsed="false">
      <c r="A148" s="574" t="s">
        <v>488</v>
      </c>
      <c r="B148" s="575" t="n">
        <f aca="false">1/'Prod. GEXSTM'!D19</f>
        <v>0.00125</v>
      </c>
      <c r="C148" s="576" t="n">
        <f aca="false">D139</f>
        <v>4450.68455156842</v>
      </c>
      <c r="D148" s="576" t="n">
        <f aca="false">B148*C148</f>
        <v>5.56335568946052</v>
      </c>
      <c r="E148" s="576" t="n">
        <f aca="false">D140</f>
        <v>4475.90089463679</v>
      </c>
      <c r="F148" s="576" t="n">
        <f aca="false">B148*E148</f>
        <v>5.59487611829599</v>
      </c>
      <c r="G148" s="576" t="n">
        <f aca="false">D141</f>
        <v>4501.40460343814</v>
      </c>
      <c r="H148" s="576" t="n">
        <f aca="false">B148*G148</f>
        <v>5.62675575429768</v>
      </c>
      <c r="I148" s="576" t="n">
        <f aca="false">D142</f>
        <v>4527.20061835756</v>
      </c>
      <c r="J148" s="576" t="n">
        <f aca="false">B148*I148</f>
        <v>5.65900077294695</v>
      </c>
      <c r="K148" s="576" t="n">
        <f aca="false">D143</f>
        <v>4553.2939936795</v>
      </c>
      <c r="L148" s="576" t="n">
        <f aca="false">B148*K148</f>
        <v>5.69161749209938</v>
      </c>
      <c r="M148" s="576" t="n">
        <f aca="false">D144</f>
        <v>4606.39363208976</v>
      </c>
      <c r="N148" s="576" t="n">
        <f aca="false">B148*M148</f>
        <v>5.7579920401122</v>
      </c>
      <c r="O148" s="577"/>
    </row>
    <row r="149" customFormat="false" ht="13.9" hidden="false" customHeight="true" outlineLevel="0" collapsed="false">
      <c r="A149" s="578" t="s">
        <v>489</v>
      </c>
      <c r="B149" s="575" t="n">
        <f aca="false">B148/'Prod. GEXSTM'!Q19</f>
        <v>5.68181818181818E-005</v>
      </c>
      <c r="C149" s="576" t="n">
        <f aca="false">G139</f>
        <v>4334.33414979739</v>
      </c>
      <c r="D149" s="576" t="n">
        <f aca="false">C149*B149</f>
        <v>0.246268985783942</v>
      </c>
      <c r="E149" s="576" t="n">
        <f aca="false">G139</f>
        <v>4334.33414979739</v>
      </c>
      <c r="F149" s="576" t="n">
        <f aca="false">B149*E149</f>
        <v>0.246268985783942</v>
      </c>
      <c r="G149" s="576" t="n">
        <f aca="false">G139</f>
        <v>4334.33414979739</v>
      </c>
      <c r="H149" s="576" t="n">
        <f aca="false">B149*G149</f>
        <v>0.246268985783942</v>
      </c>
      <c r="I149" s="576" t="n">
        <f aca="false">G139</f>
        <v>4334.33414979739</v>
      </c>
      <c r="J149" s="576" t="n">
        <f aca="false">B149*I149</f>
        <v>0.246268985783942</v>
      </c>
      <c r="K149" s="576" t="n">
        <f aca="false">G139</f>
        <v>4334.33414979739</v>
      </c>
      <c r="L149" s="576" t="n">
        <f aca="false">B149*K149</f>
        <v>0.246268985783942</v>
      </c>
      <c r="M149" s="576" t="n">
        <f aca="false">G139</f>
        <v>4334.33414979739</v>
      </c>
      <c r="N149" s="576" t="n">
        <f aca="false">B149*M149</f>
        <v>0.246268985783942</v>
      </c>
    </row>
    <row r="150" customFormat="false" ht="13.9" hidden="false" customHeight="true" outlineLevel="0" collapsed="false">
      <c r="A150" s="579" t="s">
        <v>490</v>
      </c>
      <c r="B150" s="580"/>
      <c r="C150" s="581"/>
      <c r="D150" s="581" t="n">
        <f aca="false">SUM(D148:D149)</f>
        <v>5.80962467524446</v>
      </c>
      <c r="E150" s="581"/>
      <c r="F150" s="581" t="n">
        <f aca="false">SUM(F148:F149)</f>
        <v>5.84114510407993</v>
      </c>
      <c r="G150" s="581"/>
      <c r="H150" s="581" t="n">
        <f aca="false">SUM(H148:H149)</f>
        <v>5.87302474008162</v>
      </c>
      <c r="I150" s="581"/>
      <c r="J150" s="581" t="n">
        <f aca="false">SUM(J148:J149)</f>
        <v>5.90526975873089</v>
      </c>
      <c r="K150" s="581"/>
      <c r="L150" s="581" t="n">
        <f aca="false">SUM(L148:L149)</f>
        <v>5.93788647788332</v>
      </c>
      <c r="M150" s="581"/>
      <c r="N150" s="581" t="n">
        <f aca="false">SUM(N148:N149)</f>
        <v>6.00426102589614</v>
      </c>
    </row>
    <row r="151" customFormat="false" ht="14.25" hidden="false" customHeight="true" outlineLevel="0" collapsed="false">
      <c r="A151" s="569"/>
    </row>
    <row r="152" customFormat="false" ht="26.1" hidden="false" customHeight="true" outlineLevel="0" collapsed="false">
      <c r="A152" s="570" t="s">
        <v>491</v>
      </c>
      <c r="B152" s="570"/>
      <c r="C152" s="570" t="s">
        <v>478</v>
      </c>
      <c r="D152" s="570"/>
      <c r="E152" s="571" t="s">
        <v>479</v>
      </c>
      <c r="F152" s="571"/>
      <c r="G152" s="571" t="s">
        <v>480</v>
      </c>
      <c r="H152" s="571"/>
      <c r="I152" s="571" t="s">
        <v>481</v>
      </c>
      <c r="J152" s="571"/>
      <c r="K152" s="570" t="s">
        <v>482</v>
      </c>
      <c r="L152" s="570"/>
      <c r="M152" s="570" t="s">
        <v>483</v>
      </c>
      <c r="N152" s="570"/>
    </row>
    <row r="153" customFormat="false" ht="38.25" hidden="false" customHeight="false" outlineLevel="0" collapsed="false">
      <c r="A153" s="572" t="s">
        <v>484</v>
      </c>
      <c r="B153" s="573" t="s">
        <v>485</v>
      </c>
      <c r="C153" s="573" t="s">
        <v>486</v>
      </c>
      <c r="D153" s="573" t="s">
        <v>487</v>
      </c>
      <c r="E153" s="573" t="s">
        <v>486</v>
      </c>
      <c r="F153" s="573" t="s">
        <v>487</v>
      </c>
      <c r="G153" s="573" t="s">
        <v>486</v>
      </c>
      <c r="H153" s="573" t="s">
        <v>487</v>
      </c>
      <c r="I153" s="573" t="s">
        <v>486</v>
      </c>
      <c r="J153" s="573" t="s">
        <v>487</v>
      </c>
      <c r="K153" s="573" t="s">
        <v>486</v>
      </c>
      <c r="L153" s="573" t="s">
        <v>487</v>
      </c>
      <c r="M153" s="573" t="s">
        <v>486</v>
      </c>
      <c r="N153" s="573" t="s">
        <v>487</v>
      </c>
    </row>
    <row r="154" customFormat="false" ht="13.9" hidden="false" customHeight="true" outlineLevel="0" collapsed="false">
      <c r="A154" s="574" t="s">
        <v>488</v>
      </c>
      <c r="B154" s="575" t="n">
        <f aca="false">1/'Prod. GEXSTM'!E19</f>
        <v>0.00125</v>
      </c>
      <c r="C154" s="582" t="n">
        <f aca="false">C139</f>
        <v>4971.95726435902</v>
      </c>
      <c r="D154" s="576" t="n">
        <f aca="false">B154*C154</f>
        <v>6.21494658044877</v>
      </c>
      <c r="E154" s="582" t="n">
        <f aca="false">C140</f>
        <v>5000.12699390213</v>
      </c>
      <c r="F154" s="576" t="n">
        <f aca="false">B154*E154</f>
        <v>6.25015874237766</v>
      </c>
      <c r="G154" s="582" t="n">
        <f aca="false">C141</f>
        <v>5028.61774600414</v>
      </c>
      <c r="H154" s="576" t="n">
        <f aca="false">B154*G154</f>
        <v>6.28577218250517</v>
      </c>
      <c r="I154" s="582" t="n">
        <f aca="false">C142</f>
        <v>5057.43503967751</v>
      </c>
      <c r="J154" s="576" t="n">
        <f aca="false">B154*I154</f>
        <v>6.32179379959689</v>
      </c>
      <c r="K154" s="582" t="n">
        <f aca="false">C143</f>
        <v>5086.58452117421</v>
      </c>
      <c r="L154" s="576" t="n">
        <f aca="false">B154*K154</f>
        <v>6.35823065146777</v>
      </c>
      <c r="M154" s="582" t="n">
        <f aca="false">C144</f>
        <v>5145.90329110044</v>
      </c>
      <c r="N154" s="576" t="n">
        <f aca="false">B154*M154</f>
        <v>6.43237911387555</v>
      </c>
    </row>
    <row r="155" customFormat="false" ht="13.9" hidden="false" customHeight="true" outlineLevel="0" collapsed="false">
      <c r="A155" s="578" t="s">
        <v>489</v>
      </c>
      <c r="B155" s="575" t="n">
        <f aca="false">B154/'Prod. GEXSTM'!Q19</f>
        <v>5.68181818181818E-005</v>
      </c>
      <c r="C155" s="576" t="n">
        <f aca="false">G139</f>
        <v>4334.33414979739</v>
      </c>
      <c r="D155" s="576" t="n">
        <f aca="false">C155*B155</f>
        <v>0.246268985783942</v>
      </c>
      <c r="E155" s="576" t="n">
        <f aca="false">G139</f>
        <v>4334.33414979739</v>
      </c>
      <c r="F155" s="576" t="n">
        <f aca="false">B155*E155</f>
        <v>0.246268985783942</v>
      </c>
      <c r="G155" s="576" t="n">
        <f aca="false">G139</f>
        <v>4334.33414979739</v>
      </c>
      <c r="H155" s="576" t="n">
        <f aca="false">B155*G155</f>
        <v>0.246268985783942</v>
      </c>
      <c r="I155" s="576" t="n">
        <f aca="false">G139</f>
        <v>4334.33414979739</v>
      </c>
      <c r="J155" s="576" t="n">
        <f aca="false">B155*I155</f>
        <v>0.246268985783942</v>
      </c>
      <c r="K155" s="576" t="n">
        <f aca="false">G139</f>
        <v>4334.33414979739</v>
      </c>
      <c r="L155" s="576" t="n">
        <f aca="false">B155*K155</f>
        <v>0.246268985783942</v>
      </c>
      <c r="M155" s="576" t="n">
        <f aca="false">G139</f>
        <v>4334.33414979739</v>
      </c>
      <c r="N155" s="576" t="n">
        <f aca="false">B155*M155</f>
        <v>0.246268985783942</v>
      </c>
    </row>
    <row r="156" customFormat="false" ht="13.9" hidden="false" customHeight="true" outlineLevel="0" collapsed="false">
      <c r="A156" s="579" t="s">
        <v>490</v>
      </c>
      <c r="B156" s="580"/>
      <c r="C156" s="581"/>
      <c r="D156" s="581" t="n">
        <f aca="false">SUM(D154:D155)</f>
        <v>6.46121556623272</v>
      </c>
      <c r="E156" s="581"/>
      <c r="F156" s="581" t="n">
        <f aca="false">SUM(F154:F155)</f>
        <v>6.4964277281616</v>
      </c>
      <c r="G156" s="581"/>
      <c r="H156" s="581" t="n">
        <f aca="false">SUM(H154:H155)</f>
        <v>6.53204116828911</v>
      </c>
      <c r="I156" s="581"/>
      <c r="J156" s="581" t="n">
        <f aca="false">SUM(J154:J155)</f>
        <v>6.56806278538083</v>
      </c>
      <c r="K156" s="581"/>
      <c r="L156" s="581" t="n">
        <f aca="false">SUM(L154:L155)</f>
        <v>6.60449963725171</v>
      </c>
      <c r="M156" s="581"/>
      <c r="N156" s="581" t="n">
        <f aca="false">SUM(N154:N155)</f>
        <v>6.67864809965949</v>
      </c>
    </row>
    <row r="157" customFormat="false" ht="14.25" hidden="false" customHeight="true" outlineLevel="0" collapsed="false">
      <c r="A157" s="583"/>
      <c r="B157" s="584"/>
      <c r="C157" s="584"/>
      <c r="D157" s="584"/>
      <c r="E157" s="585"/>
      <c r="F157" s="585"/>
      <c r="G157" s="585"/>
      <c r="H157" s="585"/>
      <c r="I157" s="585"/>
      <c r="J157" s="585"/>
    </row>
    <row r="158" customFormat="false" ht="24.6" hidden="false" customHeight="true" outlineLevel="0" collapsed="false">
      <c r="A158" s="571" t="s">
        <v>492</v>
      </c>
      <c r="B158" s="571"/>
      <c r="C158" s="571" t="s">
        <v>478</v>
      </c>
      <c r="D158" s="571"/>
      <c r="E158" s="571" t="s">
        <v>479</v>
      </c>
      <c r="F158" s="571"/>
      <c r="G158" s="571" t="s">
        <v>480</v>
      </c>
      <c r="H158" s="571"/>
      <c r="I158" s="571" t="s">
        <v>481</v>
      </c>
      <c r="J158" s="571"/>
      <c r="K158" s="571" t="s">
        <v>482</v>
      </c>
      <c r="L158" s="571"/>
      <c r="M158" s="571" t="s">
        <v>483</v>
      </c>
      <c r="N158" s="571"/>
    </row>
    <row r="159" customFormat="false" ht="38.25" hidden="false" customHeight="false" outlineLevel="0" collapsed="false">
      <c r="A159" s="572" t="s">
        <v>484</v>
      </c>
      <c r="B159" s="573" t="s">
        <v>493</v>
      </c>
      <c r="C159" s="573" t="s">
        <v>486</v>
      </c>
      <c r="D159" s="573" t="s">
        <v>487</v>
      </c>
      <c r="E159" s="573" t="s">
        <v>486</v>
      </c>
      <c r="F159" s="573" t="s">
        <v>487</v>
      </c>
      <c r="G159" s="573" t="s">
        <v>486</v>
      </c>
      <c r="H159" s="573" t="s">
        <v>487</v>
      </c>
      <c r="I159" s="573" t="s">
        <v>486</v>
      </c>
      <c r="J159" s="573" t="s">
        <v>487</v>
      </c>
      <c r="K159" s="573" t="s">
        <v>486</v>
      </c>
      <c r="L159" s="573" t="s">
        <v>487</v>
      </c>
      <c r="M159" s="573" t="s">
        <v>486</v>
      </c>
      <c r="N159" s="573" t="s">
        <v>487</v>
      </c>
    </row>
    <row r="160" customFormat="false" ht="13.9" hidden="false" customHeight="true" outlineLevel="0" collapsed="false">
      <c r="A160" s="574" t="s">
        <v>488</v>
      </c>
      <c r="B160" s="586" t="n">
        <f aca="false">1/'Prod. GEXSTM'!F19</f>
        <v>0.000666666666666667</v>
      </c>
      <c r="C160" s="587" t="n">
        <f aca="false">D139</f>
        <v>4450.68455156842</v>
      </c>
      <c r="D160" s="576" t="n">
        <f aca="false">B160*C160</f>
        <v>2.96712303437894</v>
      </c>
      <c r="E160" s="576" t="n">
        <f aca="false">D140</f>
        <v>4475.90089463679</v>
      </c>
      <c r="F160" s="576" t="n">
        <f aca="false">B160*E160</f>
        <v>2.98393392975786</v>
      </c>
      <c r="G160" s="576" t="n">
        <f aca="false">D141</f>
        <v>4501.40460343814</v>
      </c>
      <c r="H160" s="576" t="n">
        <f aca="false">B160*G160</f>
        <v>3.00093640229209</v>
      </c>
      <c r="I160" s="576" t="n">
        <f aca="false">D142</f>
        <v>4527.20061835756</v>
      </c>
      <c r="J160" s="576" t="n">
        <f aca="false">B160*I160</f>
        <v>3.0181337455717</v>
      </c>
      <c r="K160" s="576" t="n">
        <f aca="false">D143</f>
        <v>4553.2939936795</v>
      </c>
      <c r="L160" s="576" t="n">
        <f aca="false">B160*K160</f>
        <v>3.03552932911967</v>
      </c>
      <c r="M160" s="576" t="n">
        <f aca="false">D144</f>
        <v>4606.39363208976</v>
      </c>
      <c r="N160" s="576" t="n">
        <f aca="false">B160*M160</f>
        <v>3.07092908805984</v>
      </c>
    </row>
    <row r="161" customFormat="false" ht="13.9" hidden="false" customHeight="true" outlineLevel="0" collapsed="false">
      <c r="A161" s="578" t="s">
        <v>489</v>
      </c>
      <c r="B161" s="575" t="n">
        <f aca="false">B160/'Prod. GEXSTM'!Q19</f>
        <v>3.03030303030303E-005</v>
      </c>
      <c r="C161" s="576" t="n">
        <f aca="false">G139</f>
        <v>4334.33414979739</v>
      </c>
      <c r="D161" s="576" t="n">
        <f aca="false">B161*C161</f>
        <v>0.131343459084769</v>
      </c>
      <c r="E161" s="576" t="n">
        <f aca="false">G139</f>
        <v>4334.33414979739</v>
      </c>
      <c r="F161" s="576" t="n">
        <f aca="false">B161*E161</f>
        <v>0.131343459084769</v>
      </c>
      <c r="G161" s="576" t="n">
        <f aca="false">G139</f>
        <v>4334.33414979739</v>
      </c>
      <c r="H161" s="576" t="n">
        <f aca="false">B161*G161</f>
        <v>0.131343459084769</v>
      </c>
      <c r="I161" s="576" t="n">
        <f aca="false">G139</f>
        <v>4334.33414979739</v>
      </c>
      <c r="J161" s="576" t="n">
        <f aca="false">B161*I161</f>
        <v>0.131343459084769</v>
      </c>
      <c r="K161" s="576" t="n">
        <f aca="false">G139</f>
        <v>4334.33414979739</v>
      </c>
      <c r="L161" s="576" t="n">
        <f aca="false">B161*K161</f>
        <v>0.131343459084769</v>
      </c>
      <c r="M161" s="576" t="n">
        <f aca="false">G139</f>
        <v>4334.33414979739</v>
      </c>
      <c r="N161" s="576" t="n">
        <f aca="false">B161*M161</f>
        <v>0.131343459084769</v>
      </c>
    </row>
    <row r="162" customFormat="false" ht="13.9" hidden="false" customHeight="true" outlineLevel="0" collapsed="false">
      <c r="A162" s="579" t="s">
        <v>494</v>
      </c>
      <c r="B162" s="580"/>
      <c r="C162" s="581"/>
      <c r="D162" s="581" t="n">
        <f aca="false">SUM(D160:D161)</f>
        <v>3.09846649346371</v>
      </c>
      <c r="E162" s="581"/>
      <c r="F162" s="581" t="n">
        <f aca="false">SUM(F160:F161)</f>
        <v>3.11527738884263</v>
      </c>
      <c r="G162" s="581"/>
      <c r="H162" s="581" t="n">
        <f aca="false">SUM(H160:H161)</f>
        <v>3.13227986137686</v>
      </c>
      <c r="I162" s="581"/>
      <c r="J162" s="581" t="n">
        <f aca="false">SUM(J160:J161)</f>
        <v>3.14947720465647</v>
      </c>
      <c r="K162" s="581"/>
      <c r="L162" s="581" t="n">
        <f aca="false">SUM(L160:L161)</f>
        <v>3.16687278820444</v>
      </c>
      <c r="M162" s="581"/>
      <c r="N162" s="581" t="n">
        <f aca="false">SUM(N160:N161)</f>
        <v>3.20227254714461</v>
      </c>
    </row>
    <row r="163" customFormat="false" ht="14.25" hidden="false" customHeight="true" outlineLevel="0" collapsed="false">
      <c r="A163" s="583"/>
      <c r="B163" s="588"/>
      <c r="C163" s="588"/>
      <c r="D163" s="588"/>
      <c r="E163" s="588"/>
      <c r="F163" s="588"/>
      <c r="G163" s="588"/>
      <c r="H163" s="588"/>
      <c r="I163" s="588"/>
      <c r="J163" s="588"/>
    </row>
    <row r="164" customFormat="false" ht="26.1" hidden="false" customHeight="true" outlineLevel="0" collapsed="false">
      <c r="A164" s="571" t="s">
        <v>495</v>
      </c>
      <c r="B164" s="571"/>
      <c r="C164" s="571" t="s">
        <v>478</v>
      </c>
      <c r="D164" s="571"/>
      <c r="E164" s="571" t="s">
        <v>479</v>
      </c>
      <c r="F164" s="571"/>
      <c r="G164" s="571" t="s">
        <v>480</v>
      </c>
      <c r="H164" s="571"/>
      <c r="I164" s="571" t="s">
        <v>481</v>
      </c>
      <c r="J164" s="571"/>
      <c r="K164" s="571" t="s">
        <v>482</v>
      </c>
      <c r="L164" s="571"/>
      <c r="M164" s="571" t="s">
        <v>483</v>
      </c>
      <c r="N164" s="571"/>
    </row>
    <row r="165" customFormat="false" ht="38.25" hidden="false" customHeight="false" outlineLevel="0" collapsed="false">
      <c r="A165" s="572" t="s">
        <v>484</v>
      </c>
      <c r="B165" s="573" t="s">
        <v>493</v>
      </c>
      <c r="C165" s="573" t="s">
        <v>486</v>
      </c>
      <c r="D165" s="573" t="s">
        <v>487</v>
      </c>
      <c r="E165" s="573" t="s">
        <v>486</v>
      </c>
      <c r="F165" s="573" t="s">
        <v>487</v>
      </c>
      <c r="G165" s="573" t="s">
        <v>486</v>
      </c>
      <c r="H165" s="573" t="s">
        <v>487</v>
      </c>
      <c r="I165" s="573" t="s">
        <v>486</v>
      </c>
      <c r="J165" s="573" t="s">
        <v>487</v>
      </c>
      <c r="K165" s="573" t="s">
        <v>486</v>
      </c>
      <c r="L165" s="573" t="s">
        <v>487</v>
      </c>
      <c r="M165" s="573" t="s">
        <v>486</v>
      </c>
      <c r="N165" s="573" t="s">
        <v>487</v>
      </c>
    </row>
    <row r="166" customFormat="false" ht="13.9" hidden="false" customHeight="true" outlineLevel="0" collapsed="false">
      <c r="A166" s="574" t="s">
        <v>488</v>
      </c>
      <c r="B166" s="586" t="n">
        <f aca="false">1/'Prod. GEXSTM'!G19</f>
        <v>0.001</v>
      </c>
      <c r="C166" s="587" t="n">
        <f aca="false">D139</f>
        <v>4450.68455156842</v>
      </c>
      <c r="D166" s="576" t="n">
        <f aca="false">B166*C166</f>
        <v>4.45068455156842</v>
      </c>
      <c r="E166" s="576" t="n">
        <f aca="false">D140</f>
        <v>4475.90089463679</v>
      </c>
      <c r="F166" s="576" t="n">
        <f aca="false">B166*E166</f>
        <v>4.47590089463679</v>
      </c>
      <c r="G166" s="576" t="n">
        <f aca="false">D141</f>
        <v>4501.40460343814</v>
      </c>
      <c r="H166" s="576" t="n">
        <f aca="false">B166*G166</f>
        <v>4.50140460343814</v>
      </c>
      <c r="I166" s="576" t="n">
        <f aca="false">D142</f>
        <v>4527.20061835756</v>
      </c>
      <c r="J166" s="576" t="n">
        <f aca="false">B166*I166</f>
        <v>4.52720061835756</v>
      </c>
      <c r="K166" s="576" t="n">
        <f aca="false">D143</f>
        <v>4553.2939936795</v>
      </c>
      <c r="L166" s="576" t="n">
        <f aca="false">B166*K166</f>
        <v>4.5532939936795</v>
      </c>
      <c r="M166" s="576" t="n">
        <f aca="false">D144</f>
        <v>4606.39363208976</v>
      </c>
      <c r="N166" s="576" t="n">
        <f aca="false">B166*M166</f>
        <v>4.60639363208976</v>
      </c>
    </row>
    <row r="167" customFormat="false" ht="13.9" hidden="false" customHeight="true" outlineLevel="0" collapsed="false">
      <c r="A167" s="578" t="s">
        <v>489</v>
      </c>
      <c r="B167" s="575" t="n">
        <f aca="false">B166/'Prod. GEXSTM'!Q19</f>
        <v>4.54545454545455E-005</v>
      </c>
      <c r="C167" s="576" t="n">
        <f aca="false">G139</f>
        <v>4334.33414979739</v>
      </c>
      <c r="D167" s="576" t="n">
        <f aca="false">B167*C167</f>
        <v>0.197015188627154</v>
      </c>
      <c r="E167" s="576" t="n">
        <f aca="false">G139</f>
        <v>4334.33414979739</v>
      </c>
      <c r="F167" s="576" t="n">
        <f aca="false">B167*E167</f>
        <v>0.197015188627154</v>
      </c>
      <c r="G167" s="576" t="n">
        <f aca="false">G139</f>
        <v>4334.33414979739</v>
      </c>
      <c r="H167" s="576" t="n">
        <f aca="false">B167*G167</f>
        <v>0.197015188627154</v>
      </c>
      <c r="I167" s="576" t="n">
        <f aca="false">G139</f>
        <v>4334.33414979739</v>
      </c>
      <c r="J167" s="576" t="n">
        <f aca="false">B167*I167</f>
        <v>0.197015188627154</v>
      </c>
      <c r="K167" s="576" t="n">
        <f aca="false">G142</f>
        <v>4409.33995461359</v>
      </c>
      <c r="L167" s="576" t="n">
        <f aca="false">B167*K167</f>
        <v>0.200424543391527</v>
      </c>
      <c r="M167" s="576" t="n">
        <f aca="false">G139</f>
        <v>4334.33414979739</v>
      </c>
      <c r="N167" s="576" t="n">
        <f aca="false">B167*M167</f>
        <v>0.197015188627154</v>
      </c>
    </row>
    <row r="168" customFormat="false" ht="13.9" hidden="false" customHeight="true" outlineLevel="0" collapsed="false">
      <c r="A168" s="579" t="s">
        <v>494</v>
      </c>
      <c r="B168" s="580"/>
      <c r="C168" s="581"/>
      <c r="D168" s="581" t="n">
        <f aca="false">SUM(D166:D167)</f>
        <v>4.64769974019557</v>
      </c>
      <c r="E168" s="581"/>
      <c r="F168" s="581" t="n">
        <f aca="false">SUM(F166:F167)</f>
        <v>4.67291608326395</v>
      </c>
      <c r="G168" s="581"/>
      <c r="H168" s="581" t="n">
        <f aca="false">SUM(H166:H167)</f>
        <v>4.6984197920653</v>
      </c>
      <c r="I168" s="581"/>
      <c r="J168" s="581" t="n">
        <f aca="false">SUM(J166:J167)</f>
        <v>4.72421580698471</v>
      </c>
      <c r="K168" s="581"/>
      <c r="L168" s="581" t="n">
        <f aca="false">SUM(L166:L167)</f>
        <v>4.75371853707103</v>
      </c>
      <c r="M168" s="581"/>
      <c r="N168" s="581" t="n">
        <f aca="false">SUM(N166:N167)</f>
        <v>4.80340882071691</v>
      </c>
    </row>
    <row r="169" customFormat="false" ht="14.25" hidden="false" customHeight="true" outlineLevel="0" collapsed="false">
      <c r="A169" s="583"/>
      <c r="B169" s="588"/>
      <c r="C169" s="588"/>
      <c r="D169" s="588"/>
      <c r="E169" s="588"/>
      <c r="F169" s="588"/>
      <c r="G169" s="588"/>
      <c r="H169" s="588"/>
      <c r="I169" s="588"/>
      <c r="J169" s="588"/>
    </row>
    <row r="170" customFormat="false" ht="24.6" hidden="false" customHeight="true" outlineLevel="0" collapsed="false">
      <c r="A170" s="571" t="s">
        <v>496</v>
      </c>
      <c r="B170" s="571"/>
      <c r="C170" s="571" t="s">
        <v>478</v>
      </c>
      <c r="D170" s="571"/>
      <c r="E170" s="571" t="s">
        <v>479</v>
      </c>
      <c r="F170" s="571"/>
      <c r="G170" s="571" t="s">
        <v>480</v>
      </c>
      <c r="H170" s="571"/>
      <c r="I170" s="571" t="s">
        <v>481</v>
      </c>
      <c r="J170" s="571"/>
      <c r="K170" s="571" t="s">
        <v>482</v>
      </c>
      <c r="L170" s="571"/>
      <c r="M170" s="571" t="s">
        <v>483</v>
      </c>
      <c r="N170" s="571"/>
    </row>
    <row r="171" customFormat="false" ht="38.25" hidden="false" customHeight="false" outlineLevel="0" collapsed="false">
      <c r="A171" s="572" t="s">
        <v>484</v>
      </c>
      <c r="B171" s="573" t="s">
        <v>493</v>
      </c>
      <c r="C171" s="573" t="s">
        <v>486</v>
      </c>
      <c r="D171" s="573" t="s">
        <v>487</v>
      </c>
      <c r="E171" s="573" t="s">
        <v>486</v>
      </c>
      <c r="F171" s="573" t="s">
        <v>487</v>
      </c>
      <c r="G171" s="573" t="s">
        <v>486</v>
      </c>
      <c r="H171" s="573" t="s">
        <v>487</v>
      </c>
      <c r="I171" s="573" t="s">
        <v>486</v>
      </c>
      <c r="J171" s="573" t="s">
        <v>487</v>
      </c>
      <c r="K171" s="573" t="s">
        <v>486</v>
      </c>
      <c r="L171" s="573" t="s">
        <v>487</v>
      </c>
      <c r="M171" s="573" t="s">
        <v>486</v>
      </c>
      <c r="N171" s="573" t="s">
        <v>487</v>
      </c>
    </row>
    <row r="172" customFormat="false" ht="13.9" hidden="false" customHeight="true" outlineLevel="0" collapsed="false">
      <c r="A172" s="574" t="s">
        <v>488</v>
      </c>
      <c r="B172" s="586" t="n">
        <f aca="false">1/'Prod. GEXSTM'!H19</f>
        <v>0.005</v>
      </c>
      <c r="C172" s="582" t="n">
        <f aca="false">C139</f>
        <v>4971.95726435902</v>
      </c>
      <c r="D172" s="576" t="n">
        <f aca="false">B172*C172</f>
        <v>24.8597863217951</v>
      </c>
      <c r="E172" s="582" t="n">
        <f aca="false">C140</f>
        <v>5000.12699390213</v>
      </c>
      <c r="F172" s="576" t="n">
        <f aca="false">B172*E172</f>
        <v>25.0006349695106</v>
      </c>
      <c r="G172" s="582" t="n">
        <f aca="false">C141</f>
        <v>5028.61774600414</v>
      </c>
      <c r="H172" s="576" t="n">
        <f aca="false">B172*G172</f>
        <v>25.1430887300207</v>
      </c>
      <c r="I172" s="582" t="n">
        <f aca="false">C142</f>
        <v>5057.43503967751</v>
      </c>
      <c r="J172" s="576" t="n">
        <f aca="false">B172*I172</f>
        <v>25.2871751983876</v>
      </c>
      <c r="K172" s="582" t="n">
        <f aca="false">C143</f>
        <v>5086.58452117421</v>
      </c>
      <c r="L172" s="576" t="n">
        <f aca="false">B172*K172</f>
        <v>25.4329226058711</v>
      </c>
      <c r="M172" s="582" t="n">
        <f aca="false">C144</f>
        <v>5145.90329110044</v>
      </c>
      <c r="N172" s="576" t="n">
        <f aca="false">B172*M172</f>
        <v>25.7295164555022</v>
      </c>
    </row>
    <row r="173" customFormat="false" ht="13.9" hidden="false" customHeight="true" outlineLevel="0" collapsed="false">
      <c r="A173" s="578" t="s">
        <v>489</v>
      </c>
      <c r="B173" s="575" t="n">
        <f aca="false">B172/'Prod. GEXSTM'!Q19</f>
        <v>0.000227272727272727</v>
      </c>
      <c r="C173" s="576" t="n">
        <f aca="false">G139</f>
        <v>4334.33414979739</v>
      </c>
      <c r="D173" s="576" t="n">
        <f aca="false">C173*B173</f>
        <v>0.98507594313577</v>
      </c>
      <c r="E173" s="576" t="n">
        <f aca="false">G139</f>
        <v>4334.33414979739</v>
      </c>
      <c r="F173" s="576" t="n">
        <f aca="false">B173*E173</f>
        <v>0.98507594313577</v>
      </c>
      <c r="G173" s="576" t="n">
        <f aca="false">G139</f>
        <v>4334.33414979739</v>
      </c>
      <c r="H173" s="576" t="n">
        <f aca="false">B173*G173</f>
        <v>0.98507594313577</v>
      </c>
      <c r="I173" s="576" t="n">
        <f aca="false">G139</f>
        <v>4334.33414979739</v>
      </c>
      <c r="J173" s="576" t="n">
        <f aca="false">B173*I173</f>
        <v>0.98507594313577</v>
      </c>
      <c r="K173" s="576" t="n">
        <f aca="false">G139</f>
        <v>4334.33414979739</v>
      </c>
      <c r="L173" s="576" t="n">
        <f aca="false">B173*K173</f>
        <v>0.98507594313577</v>
      </c>
      <c r="M173" s="576" t="n">
        <f aca="false">G139</f>
        <v>4334.33414979739</v>
      </c>
      <c r="N173" s="576" t="n">
        <f aca="false">B173*M173</f>
        <v>0.98507594313577</v>
      </c>
    </row>
    <row r="174" customFormat="false" ht="13.9" hidden="false" customHeight="true" outlineLevel="0" collapsed="false">
      <c r="A174" s="579" t="s">
        <v>494</v>
      </c>
      <c r="B174" s="580"/>
      <c r="C174" s="581"/>
      <c r="D174" s="581" t="n">
        <f aca="false">SUM(D172:D173)</f>
        <v>25.8448622649309</v>
      </c>
      <c r="E174" s="581"/>
      <c r="F174" s="581" t="n">
        <f aca="false">SUM(F172:F173)</f>
        <v>25.9857109126464</v>
      </c>
      <c r="G174" s="581"/>
      <c r="H174" s="581" t="n">
        <f aca="false">SUM(H172:H173)</f>
        <v>26.1281646731564</v>
      </c>
      <c r="I174" s="581"/>
      <c r="J174" s="581" t="n">
        <f aca="false">SUM(J172:J173)</f>
        <v>26.2722511415233</v>
      </c>
      <c r="K174" s="581"/>
      <c r="L174" s="581" t="n">
        <f aca="false">SUM(L172:L173)</f>
        <v>26.4179985490068</v>
      </c>
      <c r="M174" s="581"/>
      <c r="N174" s="581" t="n">
        <f aca="false">SUM(N172:N173)</f>
        <v>26.714592398638</v>
      </c>
    </row>
    <row r="175" customFormat="false" ht="13.9" hidden="false" customHeight="true" outlineLevel="0" collapsed="false">
      <c r="A175" s="583"/>
      <c r="B175" s="589"/>
      <c r="C175" s="589"/>
      <c r="D175" s="589"/>
      <c r="E175" s="589"/>
      <c r="F175" s="589"/>
      <c r="G175" s="589"/>
      <c r="H175" s="589"/>
      <c r="I175" s="589"/>
      <c r="J175" s="589"/>
    </row>
    <row r="176" customFormat="false" ht="13.9" hidden="false" customHeight="true" outlineLevel="0" collapsed="false">
      <c r="A176" s="590" t="s">
        <v>497</v>
      </c>
      <c r="B176" s="590"/>
      <c r="C176" s="590" t="s">
        <v>478</v>
      </c>
      <c r="D176" s="590"/>
      <c r="E176" s="590" t="s">
        <v>479</v>
      </c>
      <c r="F176" s="590"/>
      <c r="G176" s="590" t="s">
        <v>480</v>
      </c>
      <c r="H176" s="590"/>
      <c r="I176" s="590" t="s">
        <v>481</v>
      </c>
      <c r="J176" s="590"/>
      <c r="K176" s="590" t="s">
        <v>482</v>
      </c>
      <c r="L176" s="590"/>
      <c r="M176" s="590" t="s">
        <v>483</v>
      </c>
      <c r="N176" s="590"/>
    </row>
    <row r="177" customFormat="false" ht="35.25" hidden="false" customHeight="true" outlineLevel="0" collapsed="false">
      <c r="A177" s="572" t="s">
        <v>484</v>
      </c>
      <c r="B177" s="573" t="s">
        <v>493</v>
      </c>
      <c r="C177" s="573" t="s">
        <v>486</v>
      </c>
      <c r="D177" s="573" t="s">
        <v>487</v>
      </c>
      <c r="E177" s="573" t="s">
        <v>486</v>
      </c>
      <c r="F177" s="573" t="s">
        <v>487</v>
      </c>
      <c r="G177" s="573" t="s">
        <v>486</v>
      </c>
      <c r="H177" s="573" t="s">
        <v>487</v>
      </c>
      <c r="I177" s="573" t="s">
        <v>486</v>
      </c>
      <c r="J177" s="573" t="s">
        <v>487</v>
      </c>
      <c r="K177" s="573" t="s">
        <v>486</v>
      </c>
      <c r="L177" s="573" t="s">
        <v>487</v>
      </c>
      <c r="M177" s="573" t="s">
        <v>486</v>
      </c>
      <c r="N177" s="573" t="s">
        <v>487</v>
      </c>
    </row>
    <row r="178" customFormat="false" ht="13.9" hidden="false" customHeight="true" outlineLevel="0" collapsed="false">
      <c r="A178" s="574" t="s">
        <v>498</v>
      </c>
      <c r="B178" s="586" t="n">
        <f aca="false">1/'Prod. GEXSTM'!I19</f>
        <v>0.000555555555555556</v>
      </c>
      <c r="C178" s="576" t="n">
        <f aca="false">D139</f>
        <v>4450.68455156842</v>
      </c>
      <c r="D178" s="576" t="n">
        <f aca="false">B178*C178</f>
        <v>2.47260252864912</v>
      </c>
      <c r="E178" s="576" t="n">
        <f aca="false">D140</f>
        <v>4475.90089463679</v>
      </c>
      <c r="F178" s="576" t="n">
        <f aca="false">B178*E178</f>
        <v>2.48661160813155</v>
      </c>
      <c r="G178" s="576" t="n">
        <f aca="false">D141</f>
        <v>4501.40460343814</v>
      </c>
      <c r="H178" s="576" t="n">
        <f aca="false">B178*G178</f>
        <v>2.50078033524341</v>
      </c>
      <c r="I178" s="576" t="n">
        <f aca="false">D142</f>
        <v>4527.20061835756</v>
      </c>
      <c r="J178" s="576" t="n">
        <f aca="false">B178*I178</f>
        <v>2.51511145464309</v>
      </c>
      <c r="K178" s="576" t="n">
        <f aca="false">D143</f>
        <v>4553.2939936795</v>
      </c>
      <c r="L178" s="576" t="n">
        <f aca="false">B178*K178</f>
        <v>2.52960777426639</v>
      </c>
      <c r="M178" s="576" t="n">
        <f aca="false">D144</f>
        <v>4606.39363208976</v>
      </c>
      <c r="N178" s="576" t="n">
        <f aca="false">B178*M178</f>
        <v>2.5591075733832</v>
      </c>
    </row>
    <row r="179" customFormat="false" ht="13.9" hidden="false" customHeight="true" outlineLevel="0" collapsed="false">
      <c r="A179" s="578" t="s">
        <v>489</v>
      </c>
      <c r="B179" s="575" t="n">
        <f aca="false">B178/'Prod. GEXSTM'!Q19</f>
        <v>2.52525252525252E-005</v>
      </c>
      <c r="C179" s="576" t="n">
        <f aca="false">G139</f>
        <v>4334.33414979739</v>
      </c>
      <c r="D179" s="576" t="n">
        <f aca="false">B179*C179</f>
        <v>0.109452882570641</v>
      </c>
      <c r="E179" s="576" t="n">
        <f aca="false">G139</f>
        <v>4334.33414979739</v>
      </c>
      <c r="F179" s="576" t="n">
        <f aca="false">B179*E179</f>
        <v>0.109452882570641</v>
      </c>
      <c r="G179" s="576" t="n">
        <f aca="false">G139</f>
        <v>4334.33414979739</v>
      </c>
      <c r="H179" s="576" t="n">
        <f aca="false">B179*G179</f>
        <v>0.109452882570641</v>
      </c>
      <c r="I179" s="576" t="n">
        <f aca="false">G139</f>
        <v>4334.33414979739</v>
      </c>
      <c r="J179" s="576" t="n">
        <f aca="false">B179*I179</f>
        <v>0.109452882570641</v>
      </c>
      <c r="K179" s="576" t="n">
        <f aca="false">G139</f>
        <v>4334.33414979739</v>
      </c>
      <c r="L179" s="576" t="n">
        <f aca="false">B179*K179</f>
        <v>0.109452882570641</v>
      </c>
      <c r="M179" s="576" t="n">
        <f aca="false">G139</f>
        <v>4334.33414979739</v>
      </c>
      <c r="N179" s="576" t="n">
        <f aca="false">B179*M179</f>
        <v>0.109452882570641</v>
      </c>
    </row>
    <row r="180" customFormat="false" ht="13.9" hidden="false" customHeight="true" outlineLevel="0" collapsed="false">
      <c r="A180" s="591" t="s">
        <v>499</v>
      </c>
      <c r="B180" s="592"/>
      <c r="C180" s="593"/>
      <c r="D180" s="594" t="n">
        <f aca="false">SUM(D178:D179)</f>
        <v>2.58205541121976</v>
      </c>
      <c r="E180" s="593"/>
      <c r="F180" s="594" t="n">
        <f aca="false">SUM(F178:F179)</f>
        <v>2.59606449070219</v>
      </c>
      <c r="G180" s="593"/>
      <c r="H180" s="594" t="n">
        <f aca="false">SUM(H178:H179)</f>
        <v>2.61023321781405</v>
      </c>
      <c r="I180" s="593"/>
      <c r="J180" s="594" t="n">
        <f aca="false">SUM(J178:J179)</f>
        <v>2.62456433721373</v>
      </c>
      <c r="K180" s="593"/>
      <c r="L180" s="594" t="n">
        <f aca="false">SUM(L178:L179)</f>
        <v>2.63906065683703</v>
      </c>
      <c r="M180" s="593"/>
      <c r="N180" s="594" t="n">
        <f aca="false">SUM(N178:N179)</f>
        <v>2.66856045595384</v>
      </c>
    </row>
    <row r="181" customFormat="false" ht="14.25" hidden="false" customHeight="true" outlineLevel="0" collapsed="false">
      <c r="A181" s="574" t="s">
        <v>500</v>
      </c>
      <c r="B181" s="586" t="n">
        <f aca="false">1/'Prod. GEXSTM'!J19</f>
        <v>0.00037037037037037</v>
      </c>
      <c r="C181" s="576" t="n">
        <f aca="false">D139</f>
        <v>4450.68455156842</v>
      </c>
      <c r="D181" s="576" t="n">
        <f aca="false">B181*C181</f>
        <v>1.64840168576608</v>
      </c>
      <c r="E181" s="576" t="n">
        <f aca="false">D140</f>
        <v>4475.90089463679</v>
      </c>
      <c r="F181" s="576" t="n">
        <f aca="false">B181*E181</f>
        <v>1.6577410720877</v>
      </c>
      <c r="G181" s="576" t="n">
        <f aca="false">D141</f>
        <v>4501.40460343814</v>
      </c>
      <c r="H181" s="576" t="n">
        <f aca="false">B181*G181</f>
        <v>1.66718689016227</v>
      </c>
      <c r="I181" s="576" t="n">
        <f aca="false">D142</f>
        <v>4527.20061835756</v>
      </c>
      <c r="J181" s="576" t="n">
        <f aca="false">B181*I181</f>
        <v>1.67674096976206</v>
      </c>
      <c r="K181" s="576" t="n">
        <f aca="false">D143</f>
        <v>4553.2939936795</v>
      </c>
      <c r="L181" s="576" t="n">
        <f aca="false">B181*K181</f>
        <v>1.68640518284426</v>
      </c>
      <c r="M181" s="576" t="n">
        <f aca="false">D144</f>
        <v>4606.39363208976</v>
      </c>
      <c r="N181" s="576" t="n">
        <f aca="false">B181*M181</f>
        <v>1.7060717155888</v>
      </c>
    </row>
    <row r="182" customFormat="false" ht="24.6" hidden="false" customHeight="true" outlineLevel="0" collapsed="false">
      <c r="A182" s="578" t="s">
        <v>489</v>
      </c>
      <c r="B182" s="575" t="n">
        <f aca="false">B181/'Prod. GEXSTM'!Q19</f>
        <v>1.68350168350168E-005</v>
      </c>
      <c r="C182" s="576" t="n">
        <f aca="false">G139</f>
        <v>4334.33414979739</v>
      </c>
      <c r="D182" s="576" t="n">
        <f aca="false">B182*C182</f>
        <v>0.0729685883804274</v>
      </c>
      <c r="E182" s="576" t="n">
        <f aca="false">G139</f>
        <v>4334.33414979739</v>
      </c>
      <c r="F182" s="576" t="n">
        <f aca="false">B182*E182</f>
        <v>0.0729685883804274</v>
      </c>
      <c r="G182" s="576" t="n">
        <f aca="false">G139</f>
        <v>4334.33414979739</v>
      </c>
      <c r="H182" s="576" t="n">
        <f aca="false">B182*G182</f>
        <v>0.0729685883804274</v>
      </c>
      <c r="I182" s="576" t="n">
        <f aca="false">G139</f>
        <v>4334.33414979739</v>
      </c>
      <c r="J182" s="576" t="n">
        <f aca="false">B182*I182</f>
        <v>0.0729685883804274</v>
      </c>
      <c r="K182" s="576" t="n">
        <f aca="false">G139</f>
        <v>4334.33414979739</v>
      </c>
      <c r="L182" s="576" t="n">
        <f aca="false">B182*K182</f>
        <v>0.0729685883804274</v>
      </c>
      <c r="M182" s="576" t="n">
        <f aca="false">G139</f>
        <v>4334.33414979739</v>
      </c>
      <c r="N182" s="576" t="n">
        <f aca="false">B182*M182</f>
        <v>0.0729685883804274</v>
      </c>
    </row>
    <row r="183" customFormat="false" ht="14.85" hidden="false" customHeight="true" outlineLevel="0" collapsed="false">
      <c r="A183" s="591" t="s">
        <v>501</v>
      </c>
      <c r="B183" s="595"/>
      <c r="C183" s="593"/>
      <c r="D183" s="594" t="n">
        <f aca="false">SUM(D181:D182)</f>
        <v>1.72137027414651</v>
      </c>
      <c r="E183" s="593"/>
      <c r="F183" s="594" t="n">
        <f aca="false">SUM(F181:F182)</f>
        <v>1.73070966046813</v>
      </c>
      <c r="G183" s="593"/>
      <c r="H183" s="594" t="n">
        <f aca="false">SUM(H181:H182)</f>
        <v>1.7401554785427</v>
      </c>
      <c r="I183" s="593"/>
      <c r="J183" s="594" t="n">
        <f aca="false">SUM(J181:J182)</f>
        <v>1.74970955814249</v>
      </c>
      <c r="K183" s="593"/>
      <c r="L183" s="594" t="n">
        <f aca="false">SUM(L181:L182)</f>
        <v>1.75937377122469</v>
      </c>
      <c r="M183" s="593"/>
      <c r="N183" s="594" t="n">
        <f aca="false">SUM(N181:N182)</f>
        <v>1.77904030396923</v>
      </c>
    </row>
    <row r="184" customFormat="false" ht="13.9" hidden="false" customHeight="true" outlineLevel="0" collapsed="false">
      <c r="A184" s="574" t="s">
        <v>502</v>
      </c>
      <c r="B184" s="586" t="n">
        <f aca="false">1/'Prod. GEXSTM'!K19</f>
        <v>0.000166666666666667</v>
      </c>
      <c r="C184" s="576" t="n">
        <f aca="false">D139</f>
        <v>4450.68455156842</v>
      </c>
      <c r="D184" s="576" t="n">
        <f aca="false">B184*C184</f>
        <v>0.741780758594736</v>
      </c>
      <c r="E184" s="576" t="n">
        <f aca="false">D140</f>
        <v>4475.90089463679</v>
      </c>
      <c r="F184" s="576" t="n">
        <f aca="false">B184*E184</f>
        <v>0.745983482439465</v>
      </c>
      <c r="G184" s="576" t="n">
        <f aca="false">D141</f>
        <v>4501.40460343814</v>
      </c>
      <c r="H184" s="576" t="n">
        <f aca="false">B184*G184</f>
        <v>0.750234100573024</v>
      </c>
      <c r="I184" s="576" t="n">
        <f aca="false">D142</f>
        <v>4527.20061835756</v>
      </c>
      <c r="J184" s="576" t="n">
        <f aca="false">B184*I184</f>
        <v>0.754533436392926</v>
      </c>
      <c r="K184" s="576" t="n">
        <f aca="false">D143</f>
        <v>4553.2939936795</v>
      </c>
      <c r="L184" s="576" t="n">
        <f aca="false">B184*K184</f>
        <v>0.758882332279917</v>
      </c>
      <c r="M184" s="576" t="n">
        <f aca="false">D144</f>
        <v>4606.39363208976</v>
      </c>
      <c r="N184" s="576" t="n">
        <f aca="false">B184*M184</f>
        <v>0.76773227201496</v>
      </c>
    </row>
    <row r="185" customFormat="false" ht="13.9" hidden="false" customHeight="true" outlineLevel="0" collapsed="false">
      <c r="A185" s="578" t="s">
        <v>489</v>
      </c>
      <c r="B185" s="575" t="n">
        <f aca="false">B184/'Prod. GEXSTM'!Q19</f>
        <v>7.57575757575758E-006</v>
      </c>
      <c r="C185" s="576" t="n">
        <f aca="false">G139</f>
        <v>4334.33414979739</v>
      </c>
      <c r="D185" s="576" t="n">
        <f aca="false">B185*C185</f>
        <v>0.0328358647711923</v>
      </c>
      <c r="E185" s="576" t="n">
        <f aca="false">G139</f>
        <v>4334.33414979739</v>
      </c>
      <c r="F185" s="576" t="n">
        <f aca="false">B185*E185</f>
        <v>0.0328358647711923</v>
      </c>
      <c r="G185" s="576" t="n">
        <f aca="false">G139</f>
        <v>4334.33414979739</v>
      </c>
      <c r="H185" s="576" t="n">
        <f aca="false">B185*G185</f>
        <v>0.0328358647711923</v>
      </c>
      <c r="I185" s="576" t="n">
        <f aca="false">G139</f>
        <v>4334.33414979739</v>
      </c>
      <c r="J185" s="576" t="n">
        <f aca="false">B185*I185</f>
        <v>0.0328358647711923</v>
      </c>
      <c r="K185" s="576" t="n">
        <f aca="false">G139</f>
        <v>4334.33414979739</v>
      </c>
      <c r="L185" s="576" t="n">
        <f aca="false">B185*K185</f>
        <v>0.0328358647711923</v>
      </c>
      <c r="M185" s="576" t="n">
        <f aca="false">G139</f>
        <v>4334.33414979739</v>
      </c>
      <c r="N185" s="576" t="n">
        <f aca="false">B185*M185</f>
        <v>0.0328358647711923</v>
      </c>
    </row>
    <row r="186" customFormat="false" ht="14.85" hidden="false" customHeight="true" outlineLevel="0" collapsed="false">
      <c r="A186" s="591" t="s">
        <v>503</v>
      </c>
      <c r="B186" s="595"/>
      <c r="C186" s="593"/>
      <c r="D186" s="594" t="n">
        <f aca="false">SUM(D184:D185)</f>
        <v>0.774616623365928</v>
      </c>
      <c r="E186" s="593"/>
      <c r="F186" s="594" t="n">
        <f aca="false">SUM(F184:F185)</f>
        <v>0.778819347210658</v>
      </c>
      <c r="G186" s="593"/>
      <c r="H186" s="594" t="n">
        <f aca="false">SUM(H184:H185)</f>
        <v>0.783069965344216</v>
      </c>
      <c r="I186" s="593"/>
      <c r="J186" s="594" t="n">
        <f aca="false">SUM(J184:J185)</f>
        <v>0.787369301164119</v>
      </c>
      <c r="K186" s="593"/>
      <c r="L186" s="594" t="n">
        <f aca="false">SUM(L184:L185)</f>
        <v>0.791718197051109</v>
      </c>
      <c r="M186" s="593"/>
      <c r="N186" s="594" t="n">
        <f aca="false">SUM(N184:N185)</f>
        <v>0.800568136786152</v>
      </c>
    </row>
    <row r="187" customFormat="false" ht="13.9" hidden="false" customHeight="true" outlineLevel="0" collapsed="false">
      <c r="A187" s="583"/>
      <c r="B187" s="588"/>
      <c r="C187" s="588"/>
      <c r="D187" s="588"/>
      <c r="E187" s="588"/>
      <c r="F187" s="588"/>
      <c r="G187" s="588"/>
      <c r="H187" s="588"/>
      <c r="I187" s="588"/>
      <c r="J187" s="588"/>
    </row>
    <row r="188" customFormat="false" ht="13.9" hidden="false" customHeight="true" outlineLevel="0" collapsed="false">
      <c r="A188" s="596" t="s">
        <v>504</v>
      </c>
      <c r="B188" s="596"/>
      <c r="C188" s="596" t="s">
        <v>478</v>
      </c>
      <c r="D188" s="596"/>
      <c r="E188" s="596" t="s">
        <v>479</v>
      </c>
      <c r="F188" s="596"/>
      <c r="G188" s="596" t="s">
        <v>480</v>
      </c>
      <c r="H188" s="596"/>
      <c r="I188" s="596" t="s">
        <v>481</v>
      </c>
      <c r="J188" s="596"/>
      <c r="K188" s="596" t="s">
        <v>482</v>
      </c>
      <c r="L188" s="596"/>
      <c r="M188" s="596" t="s">
        <v>483</v>
      </c>
      <c r="N188" s="596"/>
    </row>
    <row r="189" customFormat="false" ht="30" hidden="false" customHeight="true" outlineLevel="0" collapsed="false">
      <c r="A189" s="572" t="s">
        <v>484</v>
      </c>
      <c r="B189" s="573" t="s">
        <v>493</v>
      </c>
      <c r="C189" s="573" t="s">
        <v>486</v>
      </c>
      <c r="D189" s="573" t="s">
        <v>487</v>
      </c>
      <c r="E189" s="573" t="s">
        <v>486</v>
      </c>
      <c r="F189" s="573" t="s">
        <v>487</v>
      </c>
      <c r="G189" s="573" t="s">
        <v>486</v>
      </c>
      <c r="H189" s="573" t="s">
        <v>487</v>
      </c>
      <c r="I189" s="573" t="s">
        <v>486</v>
      </c>
      <c r="J189" s="573" t="s">
        <v>487</v>
      </c>
      <c r="K189" s="573" t="s">
        <v>486</v>
      </c>
      <c r="L189" s="573" t="s">
        <v>487</v>
      </c>
      <c r="M189" s="573" t="s">
        <v>486</v>
      </c>
      <c r="N189" s="573" t="s">
        <v>487</v>
      </c>
    </row>
    <row r="190" customFormat="false" ht="13.9" hidden="false" customHeight="true" outlineLevel="0" collapsed="false">
      <c r="A190" s="597" t="s">
        <v>505</v>
      </c>
      <c r="B190" s="586"/>
      <c r="C190" s="598"/>
      <c r="D190" s="576"/>
      <c r="E190" s="598"/>
      <c r="F190" s="576"/>
      <c r="G190" s="598"/>
      <c r="H190" s="576"/>
      <c r="I190" s="598"/>
      <c r="J190" s="576"/>
      <c r="K190" s="598"/>
      <c r="L190" s="576"/>
      <c r="M190" s="598"/>
      <c r="N190" s="576"/>
    </row>
    <row r="191" customFormat="false" ht="13.9" hidden="false" customHeight="true" outlineLevel="0" collapsed="false">
      <c r="A191" s="578" t="s">
        <v>489</v>
      </c>
      <c r="B191" s="586"/>
      <c r="C191" s="576"/>
      <c r="D191" s="576"/>
      <c r="E191" s="576"/>
      <c r="F191" s="576"/>
      <c r="G191" s="576"/>
      <c r="H191" s="576"/>
      <c r="I191" s="576"/>
      <c r="J191" s="576"/>
      <c r="K191" s="576"/>
      <c r="L191" s="576"/>
      <c r="M191" s="576"/>
      <c r="N191" s="576"/>
    </row>
    <row r="192" customFormat="false" ht="12.75" hidden="false" customHeight="true" outlineLevel="0" collapsed="false">
      <c r="A192" s="599" t="s">
        <v>506</v>
      </c>
      <c r="B192" s="600"/>
      <c r="C192" s="601"/>
      <c r="D192" s="602" t="n">
        <f aca="false">SUM(D190:D191)</f>
        <v>0</v>
      </c>
      <c r="E192" s="601"/>
      <c r="F192" s="602" t="n">
        <f aca="false">SUM(F190:F191)</f>
        <v>0</v>
      </c>
      <c r="G192" s="601"/>
      <c r="H192" s="602" t="n">
        <f aca="false">SUM(H190:H191)</f>
        <v>0</v>
      </c>
      <c r="I192" s="601"/>
      <c r="J192" s="602" t="n">
        <f aca="false">SUM(J190:J191)</f>
        <v>0</v>
      </c>
      <c r="K192" s="601"/>
      <c r="L192" s="602" t="n">
        <f aca="false">SUM(L190:L191)</f>
        <v>0</v>
      </c>
      <c r="M192" s="601"/>
      <c r="N192" s="602" t="n">
        <f aca="false">SUM(N190:N191)</f>
        <v>0</v>
      </c>
    </row>
    <row r="193" customFormat="false" ht="12.75" hidden="false" customHeight="true" outlineLevel="0" collapsed="false">
      <c r="A193" s="597" t="s">
        <v>507</v>
      </c>
      <c r="B193" s="586" t="n">
        <f aca="false">1/'Prod. GEXSTM'!M19*16*(1/188.76)</f>
        <v>0.000223062424019362</v>
      </c>
      <c r="C193" s="576" t="n">
        <f aca="false">D139</f>
        <v>4450.68455156842</v>
      </c>
      <c r="D193" s="576" t="n">
        <f aca="false">B193*C193</f>
        <v>0.992780484618377</v>
      </c>
      <c r="E193" s="576" t="n">
        <f aca="false">D140</f>
        <v>4475.90089463679</v>
      </c>
      <c r="F193" s="576" t="n">
        <f aca="false">B193*E193</f>
        <v>0.998405303228113</v>
      </c>
      <c r="G193" s="576" t="n">
        <f aca="false">D141</f>
        <v>4501.40460343814</v>
      </c>
      <c r="H193" s="576" t="n">
        <f aca="false">B193*G193</f>
        <v>1.00409422233483</v>
      </c>
      <c r="I193" s="576" t="n">
        <f aca="false">D142</f>
        <v>4527.20061835756</v>
      </c>
      <c r="J193" s="576" t="n">
        <f aca="false">B193*I193</f>
        <v>1.00984834395279</v>
      </c>
      <c r="K193" s="576" t="n">
        <f aca="false">D143</f>
        <v>4553.2939936795</v>
      </c>
      <c r="L193" s="576" t="n">
        <f aca="false">B193*K193</f>
        <v>1.01566879550295</v>
      </c>
      <c r="M193" s="576" t="n">
        <f aca="false">D144</f>
        <v>4606.39363208976</v>
      </c>
      <c r="N193" s="576" t="n">
        <f aca="false">B193*M193</f>
        <v>1.02751332956129</v>
      </c>
    </row>
    <row r="194" customFormat="false" ht="12.75" hidden="false" customHeight="true" outlineLevel="0" collapsed="false">
      <c r="A194" s="578" t="s">
        <v>489</v>
      </c>
      <c r="B194" s="586" t="n">
        <f aca="false">1/('Prod. GEXSTM'!Q19*'Prod. GEXSTM'!M19)*16*(1/188.76)</f>
        <v>1.01392010917892E-005</v>
      </c>
      <c r="C194" s="576" t="n">
        <f aca="false">G139</f>
        <v>4334.33414979739</v>
      </c>
      <c r="D194" s="576" t="n">
        <f aca="false">B194*C194</f>
        <v>0.0439466855438048</v>
      </c>
      <c r="E194" s="576" t="n">
        <f aca="false">G139</f>
        <v>4334.33414979739</v>
      </c>
      <c r="F194" s="576" t="n">
        <f aca="false">B194*E194</f>
        <v>0.0439466855438048</v>
      </c>
      <c r="G194" s="576" t="n">
        <f aca="false">G139</f>
        <v>4334.33414979739</v>
      </c>
      <c r="H194" s="576" t="n">
        <f aca="false">B194*G194</f>
        <v>0.0439466855438048</v>
      </c>
      <c r="I194" s="576" t="n">
        <f aca="false">G139</f>
        <v>4334.33414979739</v>
      </c>
      <c r="J194" s="576" t="n">
        <f aca="false">B194*I194</f>
        <v>0.0439466855438048</v>
      </c>
      <c r="K194" s="576" t="n">
        <f aca="false">G139</f>
        <v>4334.33414979739</v>
      </c>
      <c r="L194" s="576" t="n">
        <f aca="false">B194*K194</f>
        <v>0.0439466855438048</v>
      </c>
      <c r="M194" s="576" t="n">
        <f aca="false">G139</f>
        <v>4334.33414979739</v>
      </c>
      <c r="N194" s="576" t="n">
        <f aca="false">B194*M194</f>
        <v>0.0439466855438048</v>
      </c>
    </row>
    <row r="195" customFormat="false" ht="12.75" hidden="false" customHeight="true" outlineLevel="0" collapsed="false">
      <c r="A195" s="599" t="s">
        <v>508</v>
      </c>
      <c r="B195" s="600"/>
      <c r="C195" s="601"/>
      <c r="D195" s="602" t="n">
        <f aca="false">SUM(D193:D194)</f>
        <v>1.03672717016218</v>
      </c>
      <c r="E195" s="601"/>
      <c r="F195" s="602" t="n">
        <f aca="false">SUM(F193:F194)</f>
        <v>1.04235198877192</v>
      </c>
      <c r="G195" s="601"/>
      <c r="H195" s="602" t="n">
        <f aca="false">SUM(H193:H194)</f>
        <v>1.04804090787863</v>
      </c>
      <c r="I195" s="601"/>
      <c r="J195" s="602" t="n">
        <f aca="false">SUM(J193:J194)</f>
        <v>1.0537950294966</v>
      </c>
      <c r="K195" s="601"/>
      <c r="L195" s="602" t="n">
        <f aca="false">SUM(L193:L194)</f>
        <v>1.05961548104676</v>
      </c>
      <c r="M195" s="601"/>
      <c r="N195" s="602" t="n">
        <f aca="false">SUM(N193:N194)</f>
        <v>1.0714600151051</v>
      </c>
    </row>
    <row r="196" customFormat="false" ht="12.75" hidden="false" customHeight="true" outlineLevel="0" collapsed="false">
      <c r="A196" s="574" t="s">
        <v>509</v>
      </c>
      <c r="B196" s="586" t="n">
        <f aca="false">1/'Prod. GEXSTM'!N19*16*(1/188.76)</f>
        <v>0.000223062424019362</v>
      </c>
      <c r="C196" s="576" t="n">
        <f aca="false">D139</f>
        <v>4450.68455156842</v>
      </c>
      <c r="D196" s="576" t="n">
        <f aca="false">B196*C196</f>
        <v>0.992780484618377</v>
      </c>
      <c r="E196" s="576" t="n">
        <f aca="false">D140</f>
        <v>4475.90089463679</v>
      </c>
      <c r="F196" s="576" t="n">
        <f aca="false">B196*E196</f>
        <v>0.998405303228113</v>
      </c>
      <c r="G196" s="576" t="n">
        <f aca="false">D141</f>
        <v>4501.40460343814</v>
      </c>
      <c r="H196" s="576" t="n">
        <f aca="false">B196*G196</f>
        <v>1.00409422233483</v>
      </c>
      <c r="I196" s="576" t="n">
        <f aca="false">F141</f>
        <v>3473.32736670673</v>
      </c>
      <c r="J196" s="576" t="n">
        <f aca="false">B196*I196</f>
        <v>0.77476882183039</v>
      </c>
      <c r="K196" s="576" t="n">
        <f aca="false">D143</f>
        <v>4553.2939936795</v>
      </c>
      <c r="L196" s="576" t="n">
        <f aca="false">B196*K196</f>
        <v>1.01566879550295</v>
      </c>
      <c r="M196" s="576" t="n">
        <f aca="false">D144</f>
        <v>4606.39363208976</v>
      </c>
      <c r="N196" s="576" t="n">
        <f aca="false">B196*M196</f>
        <v>1.02751332956129</v>
      </c>
    </row>
    <row r="197" customFormat="false" ht="12.75" hidden="false" customHeight="true" outlineLevel="0" collapsed="false">
      <c r="A197" s="578" t="s">
        <v>489</v>
      </c>
      <c r="B197" s="586" t="n">
        <f aca="false">1/('Prod. GEXSTM'!Q19*'Prod. GEXSTM'!N19)*16*(1/188.76)</f>
        <v>1.01392010917892E-005</v>
      </c>
      <c r="C197" s="576" t="n">
        <f aca="false">G139</f>
        <v>4334.33414979739</v>
      </c>
      <c r="D197" s="576" t="n">
        <f aca="false">B197*C197</f>
        <v>0.0439466855438048</v>
      </c>
      <c r="E197" s="576" t="n">
        <f aca="false">G139</f>
        <v>4334.33414979739</v>
      </c>
      <c r="F197" s="576" t="n">
        <f aca="false">B197*E197</f>
        <v>0.0439466855438048</v>
      </c>
      <c r="G197" s="576" t="n">
        <f aca="false">G139</f>
        <v>4334.33414979739</v>
      </c>
      <c r="H197" s="576" t="n">
        <f aca="false">B197*G197</f>
        <v>0.0439466855438048</v>
      </c>
      <c r="I197" s="576" t="n">
        <f aca="false">G139</f>
        <v>4334.33414979739</v>
      </c>
      <c r="J197" s="576" t="n">
        <f aca="false">B197*I197</f>
        <v>0.0439466855438048</v>
      </c>
      <c r="K197" s="576" t="n">
        <f aca="false">G139</f>
        <v>4334.33414979739</v>
      </c>
      <c r="L197" s="576" t="n">
        <f aca="false">B197*K197</f>
        <v>0.0439466855438048</v>
      </c>
      <c r="M197" s="576" t="n">
        <f aca="false">G139</f>
        <v>4334.33414979739</v>
      </c>
      <c r="N197" s="576" t="n">
        <f aca="false">B197*M197</f>
        <v>0.0439466855438048</v>
      </c>
    </row>
    <row r="198" customFormat="false" ht="12.75" hidden="false" customHeight="true" outlineLevel="0" collapsed="false">
      <c r="A198" s="599" t="s">
        <v>510</v>
      </c>
      <c r="B198" s="600"/>
      <c r="C198" s="601"/>
      <c r="D198" s="602" t="n">
        <f aca="false">SUM(D196:D197)</f>
        <v>1.03672717016218</v>
      </c>
      <c r="E198" s="601"/>
      <c r="F198" s="602" t="n">
        <f aca="false">SUM(F196:F197)</f>
        <v>1.04235198877192</v>
      </c>
      <c r="G198" s="601"/>
      <c r="H198" s="602" t="n">
        <f aca="false">SUM(H196:H197)</f>
        <v>1.04804090787863</v>
      </c>
      <c r="I198" s="601"/>
      <c r="J198" s="602" t="n">
        <f aca="false">SUM(J196:J197)</f>
        <v>0.818715507374195</v>
      </c>
      <c r="K198" s="601"/>
      <c r="L198" s="602" t="n">
        <f aca="false">SUM(L196:L197)</f>
        <v>1.05961548104676</v>
      </c>
      <c r="M198" s="601"/>
      <c r="N198" s="602" t="n">
        <f aca="false">SUM(N196:N197)</f>
        <v>1.0714600151051</v>
      </c>
    </row>
    <row r="199" customFormat="false" ht="12.75" hidden="false" customHeight="true" outlineLevel="0" collapsed="false">
      <c r="A199" s="569"/>
    </row>
  </sheetData>
  <mergeCells count="89">
    <mergeCell ref="A1:G1"/>
    <mergeCell ref="A2:G2"/>
    <mergeCell ref="A3:G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A9:G9"/>
    <mergeCell ref="A11:G11"/>
    <mergeCell ref="A20:G20"/>
    <mergeCell ref="A21:G21"/>
    <mergeCell ref="A50:G50"/>
    <mergeCell ref="A51:G51"/>
    <mergeCell ref="A61:G61"/>
    <mergeCell ref="A62:G62"/>
    <mergeCell ref="A81:G81"/>
    <mergeCell ref="A82:G82"/>
    <mergeCell ref="A93:G93"/>
    <mergeCell ref="A115:A120"/>
    <mergeCell ref="A122:G122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46:B146"/>
    <mergeCell ref="C146:D146"/>
    <mergeCell ref="E146:F146"/>
    <mergeCell ref="G146:H146"/>
    <mergeCell ref="I146:J146"/>
    <mergeCell ref="K146:L146"/>
    <mergeCell ref="M146:N146"/>
    <mergeCell ref="A152:B152"/>
    <mergeCell ref="C152:D152"/>
    <mergeCell ref="E152:F152"/>
    <mergeCell ref="G152:H152"/>
    <mergeCell ref="I152:J152"/>
    <mergeCell ref="K152:L152"/>
    <mergeCell ref="M152:N152"/>
    <mergeCell ref="A158:B158"/>
    <mergeCell ref="C158:D158"/>
    <mergeCell ref="E158:F158"/>
    <mergeCell ref="G158:H158"/>
    <mergeCell ref="I158:J158"/>
    <mergeCell ref="K158:L158"/>
    <mergeCell ref="M158:N158"/>
    <mergeCell ref="A164:B164"/>
    <mergeCell ref="C164:D164"/>
    <mergeCell ref="E164:F164"/>
    <mergeCell ref="G164:H164"/>
    <mergeCell ref="I164:J164"/>
    <mergeCell ref="K164:L164"/>
    <mergeCell ref="M164:N164"/>
    <mergeCell ref="A170:B170"/>
    <mergeCell ref="C170:D170"/>
    <mergeCell ref="E170:F170"/>
    <mergeCell ref="G170:H170"/>
    <mergeCell ref="I170:J170"/>
    <mergeCell ref="K170:L170"/>
    <mergeCell ref="M170:N170"/>
    <mergeCell ref="A176:B176"/>
    <mergeCell ref="C176:D176"/>
    <mergeCell ref="E176:F176"/>
    <mergeCell ref="G176:H176"/>
    <mergeCell ref="I176:J176"/>
    <mergeCell ref="K176:L176"/>
    <mergeCell ref="M176:N176"/>
    <mergeCell ref="A188:B188"/>
    <mergeCell ref="C188:D188"/>
    <mergeCell ref="E188:F188"/>
    <mergeCell ref="G188:H188"/>
    <mergeCell ref="I188:J188"/>
    <mergeCell ref="K188:L188"/>
    <mergeCell ref="M188:N18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ACFD6"/>
    <pageSetUpPr fitToPage="false"/>
  </sheetPr>
  <dimension ref="A1:D145"/>
  <sheetViews>
    <sheetView showFormulas="false" showGridLines="true" showRowColHeaders="true" showZeros="true" rightToLeft="false" tabSelected="false" showOutlineSymbols="true" defaultGridColor="true" view="normal" topLeftCell="A55" colorId="64" zoomScale="100" zoomScaleNormal="100" zoomScalePageLayoutView="100" workbookViewId="0">
      <selection pane="topLeft" activeCell="D88" activeCellId="0" sqref="D88"/>
    </sheetView>
  </sheetViews>
  <sheetFormatPr defaultRowHeight="14.25" zeroHeight="false" outlineLevelRow="0" outlineLevelCol="0"/>
  <cols>
    <col collapsed="false" customWidth="true" hidden="false" outlineLevel="0" max="1" min="1" style="416" width="55.5"/>
    <col collapsed="false" customWidth="true" hidden="false" outlineLevel="0" max="4" min="2" style="416" width="14"/>
    <col collapsed="false" customWidth="true" hidden="false" outlineLevel="0" max="1014" min="5" style="416" width="9"/>
    <col collapsed="false" customWidth="true" hidden="false" outlineLevel="0" max="1018" min="1015" style="0" width="8.62"/>
    <col collapsed="false" customWidth="true" hidden="false" outlineLevel="0" max="1025" min="1019" style="0" width="9"/>
  </cols>
  <sheetData>
    <row r="1" customFormat="false" ht="15" hidden="false" customHeight="true" outlineLevel="0" collapsed="false">
      <c r="A1" s="417" t="s">
        <v>363</v>
      </c>
      <c r="B1" s="417"/>
      <c r="C1" s="417"/>
      <c r="D1" s="417"/>
    </row>
    <row r="2" customFormat="false" ht="15" hidden="false" customHeight="true" outlineLevel="0" collapsed="false">
      <c r="A2" s="418" t="s">
        <v>364</v>
      </c>
      <c r="B2" s="418"/>
      <c r="C2" s="418"/>
      <c r="D2" s="418"/>
    </row>
    <row r="3" customFormat="false" ht="15.75" hidden="false" customHeight="true" outlineLevel="0" collapsed="false">
      <c r="A3" s="418" t="s">
        <v>365</v>
      </c>
      <c r="B3" s="418"/>
      <c r="C3" s="418"/>
      <c r="D3" s="418"/>
    </row>
    <row r="4" customFormat="false" ht="15" hidden="false" customHeight="true" outlineLevel="0" collapsed="false">
      <c r="A4" s="419"/>
      <c r="B4" s="420"/>
      <c r="C4" s="421" t="s">
        <v>366</v>
      </c>
      <c r="D4" s="423" t="s">
        <v>367</v>
      </c>
    </row>
    <row r="5" customFormat="false" ht="13.9" hidden="false" customHeight="true" outlineLevel="0" collapsed="false">
      <c r="A5" s="424"/>
      <c r="B5" s="425" t="s">
        <v>369</v>
      </c>
      <c r="C5" s="426" t="n">
        <f aca="false">MC!D11</f>
        <v>1194.62727272727</v>
      </c>
      <c r="D5" s="427" t="n">
        <f aca="false">MC!E11</f>
        <v>895.970454545454</v>
      </c>
    </row>
    <row r="6" customFormat="false" ht="13.9" hidden="false" customHeight="true" outlineLevel="0" collapsed="false">
      <c r="A6" s="424"/>
      <c r="B6" s="425" t="s">
        <v>370</v>
      </c>
      <c r="C6" s="428" t="n">
        <f aca="false">MC!E8</f>
        <v>44562</v>
      </c>
      <c r="D6" s="429" t="n">
        <f aca="false">C6</f>
        <v>44562</v>
      </c>
    </row>
    <row r="7" customFormat="false" ht="13.9" hidden="false" customHeight="true" outlineLevel="0" collapsed="false">
      <c r="A7" s="424"/>
      <c r="B7" s="425" t="s">
        <v>371</v>
      </c>
      <c r="C7" s="428" t="str">
        <f aca="false">MC!C8</f>
        <v>RS000052/2022</v>
      </c>
      <c r="D7" s="429" t="str">
        <f aca="false">C7</f>
        <v>RS000052/2022</v>
      </c>
    </row>
    <row r="8" customFormat="false" ht="13.9" hidden="false" customHeight="true" outlineLevel="0" collapsed="false">
      <c r="A8" s="424"/>
      <c r="B8" s="425" t="s">
        <v>372</v>
      </c>
      <c r="C8" s="430" t="str">
        <f aca="false">MC!F8</f>
        <v>5143-20</v>
      </c>
      <c r="D8" s="432" t="str">
        <f aca="false">C8</f>
        <v>5143-20</v>
      </c>
    </row>
    <row r="9" customFormat="false" ht="13.9" hidden="false" customHeight="true" outlineLevel="0" collapsed="false">
      <c r="A9" s="603"/>
      <c r="B9" s="603"/>
      <c r="C9" s="603"/>
      <c r="D9" s="603"/>
    </row>
    <row r="10" customFormat="false" ht="66.75" hidden="false" customHeight="true" outlineLevel="0" collapsed="false">
      <c r="A10" s="434" t="s">
        <v>373</v>
      </c>
      <c r="B10" s="435" t="s">
        <v>374</v>
      </c>
      <c r="C10" s="435" t="s">
        <v>511</v>
      </c>
      <c r="D10" s="438" t="s">
        <v>512</v>
      </c>
    </row>
    <row r="11" customFormat="false" ht="14.25" hidden="false" customHeight="true" outlineLevel="0" collapsed="false">
      <c r="A11" s="505" t="s">
        <v>380</v>
      </c>
      <c r="B11" s="505"/>
      <c r="C11" s="505"/>
      <c r="D11" s="505"/>
    </row>
    <row r="12" customFormat="false" ht="14.25" hidden="false" customHeight="true" outlineLevel="0" collapsed="false">
      <c r="A12" s="440" t="s">
        <v>381</v>
      </c>
      <c r="B12" s="441" t="s">
        <v>382</v>
      </c>
      <c r="C12" s="441" t="s">
        <v>383</v>
      </c>
      <c r="D12" s="442" t="s">
        <v>383</v>
      </c>
    </row>
    <row r="13" customFormat="false" ht="14.25" hidden="false" customHeight="true" outlineLevel="0" collapsed="false">
      <c r="A13" s="443" t="s">
        <v>384</v>
      </c>
      <c r="B13" s="444"/>
      <c r="C13" s="445" t="n">
        <f aca="false">C5</f>
        <v>1194.62727272727</v>
      </c>
      <c r="D13" s="447" t="n">
        <f aca="false">D5</f>
        <v>895.970454545454</v>
      </c>
    </row>
    <row r="14" customFormat="false" ht="14.25" hidden="false" customHeight="true" outlineLevel="0" collapsed="false">
      <c r="A14" s="443" t="s">
        <v>385</v>
      </c>
      <c r="B14" s="604" t="n">
        <v>0.2</v>
      </c>
      <c r="C14" s="445" t="n">
        <f aca="false">C13*$B$14</f>
        <v>238.925454545455</v>
      </c>
      <c r="D14" s="447" t="n">
        <f aca="false">D13*$B$14</f>
        <v>179.194090909091</v>
      </c>
    </row>
    <row r="15" customFormat="false" ht="14.25" hidden="false" customHeight="true" outlineLevel="0" collapsed="false">
      <c r="A15" s="443" t="s">
        <v>388</v>
      </c>
      <c r="B15" s="450"/>
      <c r="C15" s="445"/>
      <c r="D15" s="447"/>
    </row>
    <row r="16" customFormat="false" ht="14.25" hidden="false" customHeight="true" outlineLevel="0" collapsed="false">
      <c r="A16" s="443" t="s">
        <v>389</v>
      </c>
      <c r="B16" s="450"/>
      <c r="C16" s="445"/>
      <c r="D16" s="447"/>
    </row>
    <row r="17" customFormat="false" ht="14.25" hidden="false" customHeight="true" outlineLevel="0" collapsed="false">
      <c r="A17" s="443" t="s">
        <v>390</v>
      </c>
      <c r="B17" s="450"/>
      <c r="C17" s="445"/>
      <c r="D17" s="447"/>
    </row>
    <row r="18" customFormat="false" ht="14.25" hidden="false" customHeight="true" outlineLevel="0" collapsed="false">
      <c r="A18" s="443" t="s">
        <v>391</v>
      </c>
      <c r="B18" s="453"/>
      <c r="C18" s="445"/>
      <c r="D18" s="447"/>
    </row>
    <row r="19" customFormat="false" ht="14.25" hidden="false" customHeight="true" outlineLevel="0" collapsed="false">
      <c r="A19" s="605" t="s">
        <v>392</v>
      </c>
      <c r="B19" s="606"/>
      <c r="C19" s="607" t="n">
        <f aca="false">SUM(C13:C18)</f>
        <v>1433.55272727273</v>
      </c>
      <c r="D19" s="608" t="n">
        <f aca="false">SUM(D13:D18)</f>
        <v>1075.16454545455</v>
      </c>
    </row>
    <row r="20" customFormat="false" ht="14.25" hidden="false" customHeight="true" outlineLevel="0" collapsed="false">
      <c r="A20" s="603"/>
      <c r="B20" s="603"/>
      <c r="C20" s="603"/>
      <c r="D20" s="603"/>
    </row>
    <row r="21" customFormat="false" ht="14.25" hidden="false" customHeight="true" outlineLevel="0" collapsed="false">
      <c r="A21" s="609" t="s">
        <v>393</v>
      </c>
      <c r="B21" s="609"/>
      <c r="C21" s="609"/>
      <c r="D21" s="609"/>
    </row>
    <row r="22" customFormat="false" ht="14.25" hidden="false" customHeight="true" outlineLevel="0" collapsed="false">
      <c r="A22" s="460" t="s">
        <v>394</v>
      </c>
      <c r="B22" s="461" t="s">
        <v>382</v>
      </c>
      <c r="C22" s="461" t="s">
        <v>383</v>
      </c>
      <c r="D22" s="462" t="s">
        <v>383</v>
      </c>
    </row>
    <row r="23" customFormat="false" ht="14.25" hidden="false" customHeight="true" outlineLevel="0" collapsed="false">
      <c r="A23" s="463" t="s">
        <v>395</v>
      </c>
      <c r="B23" s="464" t="n">
        <f aca="false">1/12</f>
        <v>0.0833333333333333</v>
      </c>
      <c r="C23" s="445" t="n">
        <f aca="false">ROUND($B23*C$19,2)</f>
        <v>119.46</v>
      </c>
      <c r="D23" s="447" t="n">
        <f aca="false">ROUND($B23*D$19,2)</f>
        <v>89.6</v>
      </c>
    </row>
    <row r="24" customFormat="false" ht="14.25" hidden="false" customHeight="true" outlineLevel="0" collapsed="false">
      <c r="A24" s="463" t="s">
        <v>396</v>
      </c>
      <c r="B24" s="464" t="n">
        <f aca="false">1/3*1/12</f>
        <v>0.0277777777777778</v>
      </c>
      <c r="C24" s="445" t="n">
        <f aca="false">C$19*$B$24</f>
        <v>39.8209090909091</v>
      </c>
      <c r="D24" s="447" t="n">
        <f aca="false">D$19*$B$24</f>
        <v>29.8656818181818</v>
      </c>
    </row>
    <row r="25" customFormat="false" ht="14.25" hidden="false" customHeight="true" outlineLevel="0" collapsed="false">
      <c r="A25" s="454" t="s">
        <v>392</v>
      </c>
      <c r="B25" s="465" t="n">
        <f aca="false">SUM(B23:B24)</f>
        <v>0.111111111111111</v>
      </c>
      <c r="C25" s="466" t="n">
        <f aca="false">SUM(C23:C24)</f>
        <v>159.280909090909</v>
      </c>
      <c r="D25" s="467" t="n">
        <f aca="false">SUM(D23:D24)</f>
        <v>119.465681818182</v>
      </c>
    </row>
    <row r="26" customFormat="false" ht="14.25" hidden="false" customHeight="true" outlineLevel="0" collapsed="false">
      <c r="A26" s="460" t="s">
        <v>397</v>
      </c>
      <c r="B26" s="461" t="s">
        <v>382</v>
      </c>
      <c r="C26" s="461" t="s">
        <v>383</v>
      </c>
      <c r="D26" s="462" t="s">
        <v>383</v>
      </c>
    </row>
    <row r="27" customFormat="false" ht="14.25" hidden="false" customHeight="true" outlineLevel="0" collapsed="false">
      <c r="A27" s="460" t="s">
        <v>398</v>
      </c>
      <c r="B27" s="468"/>
      <c r="C27" s="468"/>
      <c r="D27" s="469"/>
    </row>
    <row r="28" customFormat="false" ht="14.25" hidden="false" customHeight="true" outlineLevel="0" collapsed="false">
      <c r="A28" s="463" t="s">
        <v>399</v>
      </c>
      <c r="B28" s="464" t="n">
        <v>0.2</v>
      </c>
      <c r="C28" s="470" t="n">
        <f aca="false">ROUND((C$19+C$25)*$B28,2)</f>
        <v>318.57</v>
      </c>
      <c r="D28" s="471" t="n">
        <f aca="false">ROUND((D$19+D$25)*$B28,2)</f>
        <v>238.93</v>
      </c>
    </row>
    <row r="29" customFormat="false" ht="14.25" hidden="false" customHeight="true" outlineLevel="0" collapsed="false">
      <c r="A29" s="463" t="s">
        <v>400</v>
      </c>
      <c r="B29" s="464" t="n">
        <v>0.025</v>
      </c>
      <c r="C29" s="470" t="n">
        <f aca="false">ROUND((C$19+C$25)*$B29,2)</f>
        <v>39.82</v>
      </c>
      <c r="D29" s="471" t="n">
        <f aca="false">ROUND((D$19+D$25)*$B29,2)</f>
        <v>29.87</v>
      </c>
    </row>
    <row r="30" customFormat="false" ht="14.25" hidden="false" customHeight="true" outlineLevel="0" collapsed="false">
      <c r="A30" s="463" t="s">
        <v>401</v>
      </c>
      <c r="B30" s="464" t="n">
        <v>0.03</v>
      </c>
      <c r="C30" s="470" t="n">
        <f aca="false">ROUND((C$19+C$25)*$B30,2)</f>
        <v>47.79</v>
      </c>
      <c r="D30" s="471" t="n">
        <f aca="false">ROUND((D$19+D$25)*$B30,2)</f>
        <v>35.84</v>
      </c>
    </row>
    <row r="31" customFormat="false" ht="14.25" hidden="false" customHeight="true" outlineLevel="0" collapsed="false">
      <c r="A31" s="463" t="s">
        <v>402</v>
      </c>
      <c r="B31" s="464" t="n">
        <v>0.015</v>
      </c>
      <c r="C31" s="470" t="n">
        <f aca="false">ROUND((C$19+C$25)*$B31,2)</f>
        <v>23.89</v>
      </c>
      <c r="D31" s="471" t="n">
        <f aca="false">ROUND((D$19+D$25)*$B31,2)</f>
        <v>17.92</v>
      </c>
    </row>
    <row r="32" customFormat="false" ht="14.25" hidden="false" customHeight="true" outlineLevel="0" collapsed="false">
      <c r="A32" s="463" t="s">
        <v>403</v>
      </c>
      <c r="B32" s="464" t="n">
        <v>0.01</v>
      </c>
      <c r="C32" s="470" t="n">
        <f aca="false">ROUND((C$19+C$25)*$B32,2)</f>
        <v>15.93</v>
      </c>
      <c r="D32" s="471" t="n">
        <f aca="false">ROUND((D$19+D$25)*$B32,2)</f>
        <v>11.95</v>
      </c>
    </row>
    <row r="33" customFormat="false" ht="14.25" hidden="false" customHeight="true" outlineLevel="0" collapsed="false">
      <c r="A33" s="463" t="s">
        <v>404</v>
      </c>
      <c r="B33" s="464" t="n">
        <v>0.006</v>
      </c>
      <c r="C33" s="470" t="n">
        <f aca="false">ROUND((C$19+C$25)*$B33,2)</f>
        <v>9.56</v>
      </c>
      <c r="D33" s="471" t="n">
        <f aca="false">ROUND((D$19+D$25)*$B33,2)</f>
        <v>7.17</v>
      </c>
    </row>
    <row r="34" customFormat="false" ht="14.25" hidden="false" customHeight="true" outlineLevel="0" collapsed="false">
      <c r="A34" s="463" t="s">
        <v>406</v>
      </c>
      <c r="B34" s="464" t="n">
        <v>0.002</v>
      </c>
      <c r="C34" s="470" t="n">
        <f aca="false">ROUND((C$19+C$25)*$B34,2)</f>
        <v>3.19</v>
      </c>
      <c r="D34" s="471" t="n">
        <f aca="false">ROUND((D$19+D$25)*$B34,2)</f>
        <v>2.39</v>
      </c>
    </row>
    <row r="35" customFormat="false" ht="14.25" hidden="false" customHeight="true" outlineLevel="0" collapsed="false">
      <c r="A35" s="463" t="s">
        <v>407</v>
      </c>
      <c r="B35" s="464" t="n">
        <v>0.08</v>
      </c>
      <c r="C35" s="470" t="n">
        <f aca="false">ROUND((C$19+C$25)*$B35,2)</f>
        <v>127.43</v>
      </c>
      <c r="D35" s="471" t="n">
        <f aca="false">ROUND((D$19+D$25)*$B35,2)</f>
        <v>95.57</v>
      </c>
    </row>
    <row r="36" customFormat="false" ht="14.25" hidden="false" customHeight="true" outlineLevel="0" collapsed="false">
      <c r="A36" s="454" t="s">
        <v>392</v>
      </c>
      <c r="B36" s="465" t="n">
        <f aca="false">SUM(B28:B35)</f>
        <v>0.368</v>
      </c>
      <c r="C36" s="466" t="n">
        <f aca="false">SUM(C27:C35)</f>
        <v>586.18</v>
      </c>
      <c r="D36" s="467" t="n">
        <f aca="false">SUM(D27:D35)</f>
        <v>439.64</v>
      </c>
    </row>
    <row r="37" customFormat="false" ht="14.25" hidden="false" customHeight="true" outlineLevel="0" collapsed="false">
      <c r="A37" s="460" t="s">
        <v>408</v>
      </c>
      <c r="B37" s="461" t="s">
        <v>409</v>
      </c>
      <c r="C37" s="461" t="s">
        <v>383</v>
      </c>
      <c r="D37" s="462" t="s">
        <v>383</v>
      </c>
    </row>
    <row r="38" customFormat="false" ht="14.25" hidden="false" customHeight="true" outlineLevel="0" collapsed="false">
      <c r="A38" s="463" t="s">
        <v>410</v>
      </c>
      <c r="B38" s="472" t="n">
        <f aca="false">MC!E84</f>
        <v>3.81969696969697</v>
      </c>
      <c r="C38" s="445" t="n">
        <f aca="false">ROUND(((2*22*$B$38)-0.06*C$13),2)</f>
        <v>96.39</v>
      </c>
      <c r="D38" s="447" t="n">
        <f aca="false">ROUND(((2*22*$B$38)-0.06*D$13),2)</f>
        <v>114.31</v>
      </c>
    </row>
    <row r="39" customFormat="false" ht="14.25" hidden="false" customHeight="true" outlineLevel="0" collapsed="false">
      <c r="A39" s="463" t="s">
        <v>411</v>
      </c>
      <c r="B39" s="473"/>
      <c r="C39" s="470" t="n">
        <f aca="false">MC!F17</f>
        <v>359.61</v>
      </c>
      <c r="D39" s="471" t="n">
        <f aca="false">MC!F18</f>
        <v>179.8</v>
      </c>
    </row>
    <row r="40" customFormat="false" ht="14.25" hidden="false" customHeight="true" outlineLevel="0" collapsed="false">
      <c r="A40" s="463" t="s">
        <v>412</v>
      </c>
      <c r="B40" s="464"/>
      <c r="C40" s="470"/>
      <c r="D40" s="471"/>
    </row>
    <row r="41" customFormat="false" ht="14.25" hidden="false" customHeight="true" outlineLevel="0" collapsed="false">
      <c r="A41" s="463" t="s">
        <v>513</v>
      </c>
      <c r="B41" s="476"/>
      <c r="C41" s="470" t="n">
        <f aca="false">B41</f>
        <v>0</v>
      </c>
      <c r="D41" s="471" t="n">
        <f aca="false">B41</f>
        <v>0</v>
      </c>
    </row>
    <row r="42" customFormat="false" ht="14.25" hidden="false" customHeight="true" outlineLevel="0" collapsed="false">
      <c r="A42" s="463" t="s">
        <v>514</v>
      </c>
      <c r="B42" s="476" t="n">
        <f aca="false">MC!F25</f>
        <v>17.32</v>
      </c>
      <c r="C42" s="470" t="n">
        <f aca="false">$B42</f>
        <v>17.32</v>
      </c>
      <c r="D42" s="471" t="n">
        <f aca="false">$B42</f>
        <v>17.32</v>
      </c>
    </row>
    <row r="43" customFormat="false" ht="14.25" hidden="false" customHeight="true" outlineLevel="0" collapsed="false">
      <c r="A43" s="463" t="s">
        <v>415</v>
      </c>
      <c r="B43" s="464"/>
      <c r="C43" s="470"/>
      <c r="D43" s="471"/>
    </row>
    <row r="44" customFormat="false" ht="14.25" hidden="false" customHeight="true" outlineLevel="0" collapsed="false">
      <c r="A44" s="454" t="s">
        <v>392</v>
      </c>
      <c r="B44" s="455"/>
      <c r="C44" s="466" t="n">
        <f aca="false">SUM(C38:C43)</f>
        <v>473.32</v>
      </c>
      <c r="D44" s="467" t="n">
        <f aca="false">SUM(D38:D43)</f>
        <v>311.43</v>
      </c>
    </row>
    <row r="45" customFormat="false" ht="14.25" hidden="false" customHeight="true" outlineLevel="0" collapsed="false">
      <c r="A45" s="440" t="s">
        <v>416</v>
      </c>
      <c r="B45" s="441" t="s">
        <v>382</v>
      </c>
      <c r="C45" s="441" t="s">
        <v>383</v>
      </c>
      <c r="D45" s="442" t="s">
        <v>383</v>
      </c>
    </row>
    <row r="46" customFormat="false" ht="14.25" hidden="false" customHeight="true" outlineLevel="0" collapsed="false">
      <c r="A46" s="463" t="s">
        <v>394</v>
      </c>
      <c r="B46" s="478" t="n">
        <f aca="false">B25</f>
        <v>0.111111111111111</v>
      </c>
      <c r="C46" s="479" t="n">
        <f aca="false">C25</f>
        <v>159.280909090909</v>
      </c>
      <c r="D46" s="480" t="n">
        <f aca="false">D25</f>
        <v>119.465681818182</v>
      </c>
    </row>
    <row r="47" customFormat="false" ht="14.25" hidden="false" customHeight="true" outlineLevel="0" collapsed="false">
      <c r="A47" s="463" t="s">
        <v>417</v>
      </c>
      <c r="B47" s="478" t="n">
        <f aca="false">B36</f>
        <v>0.368</v>
      </c>
      <c r="C47" s="479" t="n">
        <f aca="false">C36</f>
        <v>586.18</v>
      </c>
      <c r="D47" s="480" t="n">
        <f aca="false">D36</f>
        <v>439.64</v>
      </c>
    </row>
    <row r="48" customFormat="false" ht="14.25" hidden="false" customHeight="true" outlineLevel="0" collapsed="false">
      <c r="A48" s="463" t="s">
        <v>408</v>
      </c>
      <c r="B48" s="478"/>
      <c r="C48" s="479" t="n">
        <f aca="false">C44</f>
        <v>473.32</v>
      </c>
      <c r="D48" s="480" t="n">
        <f aca="false">D44</f>
        <v>311.43</v>
      </c>
    </row>
    <row r="49" customFormat="false" ht="14.25" hidden="false" customHeight="true" outlineLevel="0" collapsed="false">
      <c r="A49" s="605" t="s">
        <v>392</v>
      </c>
      <c r="B49" s="606"/>
      <c r="C49" s="607" t="n">
        <f aca="false">SUM(C46:C48)</f>
        <v>1218.78090909091</v>
      </c>
      <c r="D49" s="608" t="n">
        <f aca="false">SUM(D46:D48)</f>
        <v>870.535681818182</v>
      </c>
    </row>
    <row r="50" customFormat="false" ht="14.25" hidden="false" customHeight="true" outlineLevel="0" collapsed="false">
      <c r="A50" s="603"/>
      <c r="B50" s="603"/>
      <c r="C50" s="603"/>
      <c r="D50" s="603"/>
    </row>
    <row r="51" s="482" customFormat="true" ht="14.25" hidden="false" customHeight="true" outlineLevel="0" collapsed="false">
      <c r="A51" s="609" t="s">
        <v>418</v>
      </c>
      <c r="B51" s="609"/>
      <c r="C51" s="609"/>
      <c r="D51" s="609"/>
    </row>
    <row r="52" customFormat="false" ht="14.25" hidden="false" customHeight="true" outlineLevel="0" collapsed="false">
      <c r="A52" s="440" t="s">
        <v>419</v>
      </c>
      <c r="B52" s="441" t="s">
        <v>382</v>
      </c>
      <c r="C52" s="441" t="s">
        <v>383</v>
      </c>
      <c r="D52" s="442" t="s">
        <v>383</v>
      </c>
    </row>
    <row r="53" customFormat="false" ht="14.25" hidden="false" customHeight="true" outlineLevel="0" collapsed="false">
      <c r="A53" s="460" t="s">
        <v>420</v>
      </c>
      <c r="B53" s="483"/>
      <c r="C53" s="483"/>
      <c r="D53" s="484"/>
    </row>
    <row r="54" customFormat="false" ht="14.25" hidden="false" customHeight="true" outlineLevel="0" collapsed="false">
      <c r="A54" s="463" t="s">
        <v>421</v>
      </c>
      <c r="B54" s="478" t="n">
        <f aca="false">1/12*0.05</f>
        <v>0.00416666666666667</v>
      </c>
      <c r="C54" s="485" t="n">
        <f aca="false">C19*$B54</f>
        <v>5.97313636363636</v>
      </c>
      <c r="D54" s="486" t="n">
        <f aca="false">D19*$B54</f>
        <v>4.47985227272727</v>
      </c>
    </row>
    <row r="55" customFormat="false" ht="14.25" hidden="false" customHeight="true" outlineLevel="0" collapsed="false">
      <c r="A55" s="463" t="s">
        <v>422</v>
      </c>
      <c r="B55" s="478" t="n">
        <f aca="false">B35*B54</f>
        <v>0.000333333333333333</v>
      </c>
      <c r="C55" s="485" t="n">
        <f aca="false">$B$55*C19</f>
        <v>0.477850909090909</v>
      </c>
      <c r="D55" s="486" t="n">
        <f aca="false">$B$55*D19</f>
        <v>0.358388181818182</v>
      </c>
    </row>
    <row r="56" customFormat="false" ht="14.25" hidden="false" customHeight="true" outlineLevel="0" collapsed="false">
      <c r="A56" s="463" t="s">
        <v>423</v>
      </c>
      <c r="B56" s="478" t="n">
        <v>0</v>
      </c>
      <c r="C56" s="485" t="n">
        <f aca="false">C35*$B56</f>
        <v>0</v>
      </c>
      <c r="D56" s="486" t="n">
        <f aca="false">D35*$B56</f>
        <v>0</v>
      </c>
    </row>
    <row r="57" customFormat="false" ht="14.25" hidden="false" customHeight="true" outlineLevel="0" collapsed="false">
      <c r="A57" s="463" t="s">
        <v>424</v>
      </c>
      <c r="B57" s="478" t="n">
        <f aca="false">1/12*1/30*7</f>
        <v>0.0194444444444444</v>
      </c>
      <c r="C57" s="479" t="n">
        <f aca="false">C19*$B57</f>
        <v>27.8746363636364</v>
      </c>
      <c r="D57" s="480" t="n">
        <f aca="false">D19*$B57</f>
        <v>20.9059772727273</v>
      </c>
    </row>
    <row r="58" customFormat="false" ht="14.25" hidden="false" customHeight="true" outlineLevel="0" collapsed="false">
      <c r="A58" s="463" t="s">
        <v>425</v>
      </c>
      <c r="B58" s="478" t="n">
        <f aca="false">B36*B57</f>
        <v>0.00715555555555556</v>
      </c>
      <c r="C58" s="479" t="n">
        <f aca="false">$B58*C19</f>
        <v>10.2578661818182</v>
      </c>
      <c r="D58" s="480" t="n">
        <f aca="false">$B58*D19</f>
        <v>7.69339963636364</v>
      </c>
    </row>
    <row r="59" customFormat="false" ht="14.25" hidden="false" customHeight="true" outlineLevel="0" collapsed="false">
      <c r="A59" s="463" t="s">
        <v>426</v>
      </c>
      <c r="B59" s="478" t="n">
        <f aca="false">B35*40/100*90/100*(1+1/12+1/12+1/3*1/12)</f>
        <v>0.0344</v>
      </c>
      <c r="C59" s="479" t="n">
        <f aca="false">C19*$B59</f>
        <v>49.3142138181818</v>
      </c>
      <c r="D59" s="480" t="n">
        <f aca="false">D19*$B59</f>
        <v>36.9856603636363</v>
      </c>
    </row>
    <row r="60" customFormat="false" ht="14.25" hidden="false" customHeight="true" outlineLevel="0" collapsed="false">
      <c r="A60" s="605" t="s">
        <v>392</v>
      </c>
      <c r="B60" s="610" t="n">
        <f aca="false">SUM(B54:B59)</f>
        <v>0.0655</v>
      </c>
      <c r="C60" s="611" t="n">
        <f aca="false">SUM(C54:C59)</f>
        <v>93.8977036363636</v>
      </c>
      <c r="D60" s="612" t="n">
        <f aca="false">SUM(D54:D59)</f>
        <v>70.4232777272727</v>
      </c>
    </row>
    <row r="61" customFormat="false" ht="14.25" hidden="false" customHeight="true" outlineLevel="0" collapsed="false">
      <c r="A61" s="603"/>
      <c r="B61" s="603"/>
      <c r="C61" s="603"/>
      <c r="D61" s="603"/>
    </row>
    <row r="62" customFormat="false" ht="14.25" hidden="false" customHeight="true" outlineLevel="0" collapsed="false">
      <c r="A62" s="609" t="s">
        <v>427</v>
      </c>
      <c r="B62" s="609"/>
      <c r="C62" s="609"/>
      <c r="D62" s="609"/>
    </row>
    <row r="63" customFormat="false" ht="14.25" hidden="false" customHeight="true" outlineLevel="0" collapsed="false">
      <c r="A63" s="460" t="s">
        <v>41</v>
      </c>
      <c r="B63" s="461" t="s">
        <v>382</v>
      </c>
      <c r="C63" s="461" t="s">
        <v>383</v>
      </c>
      <c r="D63" s="462" t="s">
        <v>383</v>
      </c>
    </row>
    <row r="64" customFormat="false" ht="14.25" hidden="false" customHeight="true" outlineLevel="0" collapsed="false">
      <c r="A64" s="463" t="s">
        <v>42</v>
      </c>
      <c r="B64" s="464" t="n">
        <f aca="false">1/12</f>
        <v>0.0833333333333333</v>
      </c>
      <c r="C64" s="470" t="n">
        <f aca="false">$B64*(C$19+C$49+C$60)</f>
        <v>228.852611666667</v>
      </c>
      <c r="D64" s="471" t="n">
        <f aca="false">$B64*(D$19+D$49+D$60)</f>
        <v>168.010292083333</v>
      </c>
    </row>
    <row r="65" customFormat="false" ht="14.25" hidden="false" customHeight="true" outlineLevel="0" collapsed="false">
      <c r="A65" s="463" t="s">
        <v>428</v>
      </c>
      <c r="B65" s="464" t="n">
        <f aca="false">MC!E52/30/12</f>
        <v>0.0135388888888889</v>
      </c>
      <c r="C65" s="470" t="n">
        <f aca="false">$B65*(C$19+C$49+C$60)</f>
        <v>37.1809209754444</v>
      </c>
      <c r="D65" s="471" t="n">
        <f aca="false">$B65*(D$19+D$49+D$60)</f>
        <v>27.2960721204722</v>
      </c>
    </row>
    <row r="66" customFormat="false" ht="14.25" hidden="false" customHeight="true" outlineLevel="0" collapsed="false">
      <c r="A66" s="463" t="s">
        <v>429</v>
      </c>
      <c r="B66" s="487" t="n">
        <f aca="false">(5/30)/12*MC!F54*MC!C55</f>
        <v>0.000107645833333333</v>
      </c>
      <c r="C66" s="470" t="n">
        <f aca="false">$B66*(C$19+C$49+C$60)</f>
        <v>0.295620361120417</v>
      </c>
      <c r="D66" s="471" t="n">
        <f aca="false">$B66*(D$19+D$49+D$60)</f>
        <v>0.217027294798646</v>
      </c>
    </row>
    <row r="67" customFormat="false" ht="14.25" hidden="false" customHeight="true" outlineLevel="0" collapsed="false">
      <c r="A67" s="463" t="s">
        <v>430</v>
      </c>
      <c r="B67" s="487" t="n">
        <f aca="false">MC!C57/30/12</f>
        <v>0.00268305555555556</v>
      </c>
      <c r="C67" s="470" t="n">
        <f aca="false">$B67*(C$19+C$49+C$60)</f>
        <v>7.36829125362778</v>
      </c>
      <c r="D67" s="471" t="n">
        <f aca="false">$B67*(D$19+D$49+D$60)</f>
        <v>5.40937137077639</v>
      </c>
    </row>
    <row r="68" customFormat="false" ht="14.25" hidden="false" customHeight="true" outlineLevel="0" collapsed="false">
      <c r="A68" s="463" t="s">
        <v>391</v>
      </c>
      <c r="B68" s="464"/>
      <c r="C68" s="470"/>
      <c r="D68" s="471"/>
    </row>
    <row r="69" customFormat="false" ht="14.25" hidden="false" customHeight="true" outlineLevel="0" collapsed="false">
      <c r="A69" s="488" t="s">
        <v>431</v>
      </c>
      <c r="B69" s="489" t="n">
        <f aca="false">SUM(B64:B68)</f>
        <v>0.0996629236111111</v>
      </c>
      <c r="C69" s="490" t="n">
        <f aca="false">SUM(C64:C68)</f>
        <v>273.697444256859</v>
      </c>
      <c r="D69" s="491" t="n">
        <f aca="false">SUM(D64:D68)</f>
        <v>200.932762869381</v>
      </c>
    </row>
    <row r="70" customFormat="false" ht="14.25" hidden="false" customHeight="true" outlineLevel="0" collapsed="false">
      <c r="A70" s="460" t="s">
        <v>432</v>
      </c>
      <c r="B70" s="461" t="s">
        <v>382</v>
      </c>
      <c r="C70" s="461" t="s">
        <v>383</v>
      </c>
      <c r="D70" s="462" t="s">
        <v>383</v>
      </c>
    </row>
    <row r="71" customFormat="false" ht="14.25" hidden="false" customHeight="true" outlineLevel="0" collapsed="false">
      <c r="A71" s="463" t="s">
        <v>433</v>
      </c>
      <c r="B71" s="464"/>
      <c r="C71" s="470"/>
      <c r="D71" s="471"/>
    </row>
    <row r="72" customFormat="false" ht="14.25" hidden="false" customHeight="true" outlineLevel="0" collapsed="false">
      <c r="A72" s="488" t="s">
        <v>431</v>
      </c>
      <c r="B72" s="489"/>
      <c r="C72" s="490" t="n">
        <f aca="false">C71</f>
        <v>0</v>
      </c>
      <c r="D72" s="491"/>
    </row>
    <row r="73" customFormat="false" ht="14.25" hidden="false" customHeight="true" outlineLevel="0" collapsed="false">
      <c r="A73" s="460" t="s">
        <v>63</v>
      </c>
      <c r="B73" s="461" t="s">
        <v>382</v>
      </c>
      <c r="C73" s="461" t="s">
        <v>383</v>
      </c>
      <c r="D73" s="462" t="s">
        <v>383</v>
      </c>
    </row>
    <row r="74" customFormat="false" ht="14.25" hidden="false" customHeight="true" outlineLevel="0" collapsed="false">
      <c r="A74" s="463" t="s">
        <v>64</v>
      </c>
      <c r="B74" s="464" t="n">
        <f aca="false">120/30*MC!C60*MC!C61</f>
        <v>0.00618624</v>
      </c>
      <c r="C74" s="470" t="n">
        <f aca="false">(((C19*2)+ (C19*1/3))+(C36)+(C44-C38-C39))*$B$74</f>
        <v>24.4260986949818</v>
      </c>
      <c r="D74" s="471" t="n">
        <f aca="false">(((D19*2)+ (D19*1/3))+(D36)+(D44-D38-D39))*$B$74</f>
        <v>18.3463913716364</v>
      </c>
    </row>
    <row r="75" customFormat="false" ht="14.25" hidden="false" customHeight="true" outlineLevel="0" collapsed="false">
      <c r="A75" s="488" t="s">
        <v>392</v>
      </c>
      <c r="B75" s="489"/>
      <c r="C75" s="490"/>
      <c r="D75" s="491"/>
    </row>
    <row r="76" customFormat="false" ht="14.25" hidden="false" customHeight="true" outlineLevel="0" collapsed="false">
      <c r="A76" s="440" t="s">
        <v>434</v>
      </c>
      <c r="B76" s="441" t="s">
        <v>382</v>
      </c>
      <c r="C76" s="441" t="s">
        <v>383</v>
      </c>
      <c r="D76" s="442" t="s">
        <v>383</v>
      </c>
    </row>
    <row r="77" customFormat="false" ht="14.25" hidden="false" customHeight="true" outlineLevel="0" collapsed="false">
      <c r="A77" s="463" t="s">
        <v>41</v>
      </c>
      <c r="B77" s="478" t="n">
        <f aca="false">B69</f>
        <v>0.0996629236111111</v>
      </c>
      <c r="C77" s="479" t="n">
        <f aca="false">C69</f>
        <v>273.697444256859</v>
      </c>
      <c r="D77" s="480" t="n">
        <f aca="false">D69</f>
        <v>200.932762869381</v>
      </c>
    </row>
    <row r="78" customFormat="false" ht="14.25" hidden="false" customHeight="true" outlineLevel="0" collapsed="false">
      <c r="A78" s="463" t="s">
        <v>432</v>
      </c>
      <c r="B78" s="478" t="n">
        <f aca="false">B72</f>
        <v>0</v>
      </c>
      <c r="C78" s="479" t="n">
        <f aca="false">C72</f>
        <v>0</v>
      </c>
      <c r="D78" s="480" t="n">
        <f aca="false">D72</f>
        <v>0</v>
      </c>
    </row>
    <row r="79" customFormat="false" ht="14.25" hidden="false" customHeight="true" outlineLevel="0" collapsed="false">
      <c r="A79" s="463" t="s">
        <v>63</v>
      </c>
      <c r="B79" s="478" t="n">
        <f aca="false">B74</f>
        <v>0.00618624</v>
      </c>
      <c r="C79" s="479" t="n">
        <f aca="false">C74</f>
        <v>24.4260986949818</v>
      </c>
      <c r="D79" s="480" t="n">
        <f aca="false">D74</f>
        <v>18.3463913716364</v>
      </c>
    </row>
    <row r="80" customFormat="false" ht="14.25" hidden="false" customHeight="true" outlineLevel="0" collapsed="false">
      <c r="A80" s="605" t="s">
        <v>392</v>
      </c>
      <c r="B80" s="606"/>
      <c r="C80" s="607" t="n">
        <f aca="false">SUM(C77:C79)</f>
        <v>298.123542951841</v>
      </c>
      <c r="D80" s="608" t="n">
        <f aca="false">SUM(D77:D79)</f>
        <v>219.279154241017</v>
      </c>
    </row>
    <row r="81" customFormat="false" ht="14.25" hidden="false" customHeight="true" outlineLevel="0" collapsed="false">
      <c r="A81" s="603"/>
      <c r="B81" s="603"/>
      <c r="C81" s="603"/>
      <c r="D81" s="603"/>
    </row>
    <row r="82" customFormat="false" ht="14.25" hidden="false" customHeight="true" outlineLevel="0" collapsed="false">
      <c r="A82" s="609" t="s">
        <v>435</v>
      </c>
      <c r="B82" s="609"/>
      <c r="C82" s="609"/>
      <c r="D82" s="609"/>
    </row>
    <row r="83" customFormat="false" ht="14.25" hidden="false" customHeight="true" outlineLevel="0" collapsed="false">
      <c r="A83" s="440" t="s">
        <v>436</v>
      </c>
      <c r="B83" s="441" t="s">
        <v>409</v>
      </c>
      <c r="C83" s="441" t="s">
        <v>383</v>
      </c>
      <c r="D83" s="442" t="s">
        <v>383</v>
      </c>
    </row>
    <row r="84" customFormat="false" ht="14.25" hidden="false" customHeight="true" outlineLevel="0" collapsed="false">
      <c r="A84" s="463" t="s">
        <v>438</v>
      </c>
      <c r="B84" s="613"/>
      <c r="C84" s="445" t="n">
        <f aca="false">Insumos!G118</f>
        <v>27.8754166666667</v>
      </c>
      <c r="D84" s="447" t="n">
        <f aca="false">Insumos!G118</f>
        <v>27.8754166666667</v>
      </c>
    </row>
    <row r="85" customFormat="false" ht="14.25" hidden="false" customHeight="true" outlineLevel="0" collapsed="false">
      <c r="A85" s="495" t="s">
        <v>439</v>
      </c>
      <c r="B85" s="613"/>
      <c r="C85" s="445" t="n">
        <f aca="false">Insumos!$G70</f>
        <v>247.116666666667</v>
      </c>
      <c r="D85" s="447" t="n">
        <f aca="false">Insumos!$G70</f>
        <v>247.116666666667</v>
      </c>
    </row>
    <row r="86" customFormat="false" ht="14.25" hidden="false" customHeight="true" outlineLevel="0" collapsed="false">
      <c r="A86" s="495" t="s">
        <v>440</v>
      </c>
      <c r="B86" s="614"/>
      <c r="C86" s="451" t="s">
        <v>387</v>
      </c>
      <c r="D86" s="449" t="s">
        <v>387</v>
      </c>
    </row>
    <row r="87" customFormat="false" ht="14.25" hidden="false" customHeight="true" outlineLevel="0" collapsed="false">
      <c r="A87" s="495" t="s">
        <v>441</v>
      </c>
      <c r="B87" s="615"/>
      <c r="C87" s="445" t="n">
        <f aca="false">Insumos!$I123</f>
        <v>142.213333333333</v>
      </c>
      <c r="D87" s="447" t="n">
        <f aca="false">Insumos!$H123</f>
        <v>122.523333333333</v>
      </c>
    </row>
    <row r="88" customFormat="false" ht="14.25" hidden="false" customHeight="true" outlineLevel="0" collapsed="false">
      <c r="A88" s="616" t="s">
        <v>392</v>
      </c>
      <c r="B88" s="617"/>
      <c r="C88" s="618" t="n">
        <f aca="false">SUM(C84:C87)</f>
        <v>417.205416666667</v>
      </c>
      <c r="D88" s="619" t="n">
        <f aca="false">SUM(D84:D87)</f>
        <v>397.515416666667</v>
      </c>
    </row>
    <row r="89" customFormat="false" ht="14.25" hidden="false" customHeight="true" outlineLevel="0" collapsed="false">
      <c r="A89" s="603"/>
      <c r="B89" s="603"/>
      <c r="C89" s="603"/>
      <c r="D89" s="603"/>
    </row>
    <row r="90" customFormat="false" ht="14.25" hidden="false" customHeight="true" outlineLevel="0" collapsed="false">
      <c r="A90" s="609" t="s">
        <v>445</v>
      </c>
      <c r="B90" s="609"/>
      <c r="C90" s="609"/>
      <c r="D90" s="609"/>
    </row>
    <row r="91" customFormat="false" ht="14.25" hidden="false" customHeight="true" outlineLevel="0" collapsed="false">
      <c r="A91" s="440" t="s">
        <v>446</v>
      </c>
      <c r="B91" s="441" t="s">
        <v>382</v>
      </c>
      <c r="C91" s="441" t="s">
        <v>383</v>
      </c>
      <c r="D91" s="442" t="s">
        <v>383</v>
      </c>
    </row>
    <row r="92" customFormat="false" ht="14.25" hidden="false" customHeight="true" outlineLevel="0" collapsed="false">
      <c r="A92" s="443" t="s">
        <v>69</v>
      </c>
      <c r="B92" s="464" t="n">
        <v>0.03</v>
      </c>
      <c r="C92" s="470" t="n">
        <f aca="false">($C$19+$C$49+$C$60+$C$80+$C$88)*$B$92</f>
        <v>103.846808988555</v>
      </c>
      <c r="D92" s="471" t="n">
        <f aca="false">(D$19+D$49+D$60+D$80+D$88)*$B$92</f>
        <v>78.9875422772305</v>
      </c>
    </row>
    <row r="93" customFormat="false" ht="14.25" hidden="false" customHeight="true" outlineLevel="0" collapsed="false">
      <c r="A93" s="443" t="s">
        <v>70</v>
      </c>
      <c r="B93" s="464" t="n">
        <v>0.0679</v>
      </c>
      <c r="C93" s="470" t="n">
        <f aca="false">($C$19+$C$49+$C$60+$C$80+$C$88+C92)*B93</f>
        <v>242.09114267442</v>
      </c>
      <c r="D93" s="471" t="n">
        <f aca="false">(D$19+D$49+D$60+D$80+D$88+D$92)*$B$93</f>
        <v>184.138391474756</v>
      </c>
    </row>
    <row r="94" customFormat="false" ht="14.25" hidden="false" customHeight="true" outlineLevel="0" collapsed="false">
      <c r="A94" s="506" t="s">
        <v>447</v>
      </c>
      <c r="B94" s="507" t="n">
        <f aca="false">B95+B96</f>
        <v>0.1125</v>
      </c>
      <c r="C94" s="508" t="n">
        <f aca="false">((C19+C49+C60+C80+C88+C92+C93)/(1-($B$94)))*$B$94</f>
        <v>482.640623401878</v>
      </c>
      <c r="D94" s="509" t="n">
        <f aca="false">((D19+D49+D60+D80+D88+D92+D93)/(1-($B$94)))*$B$94</f>
        <v>367.10417023855</v>
      </c>
    </row>
    <row r="95" customFormat="false" ht="14.25" hidden="false" customHeight="true" outlineLevel="0" collapsed="false">
      <c r="A95" s="443" t="s">
        <v>448</v>
      </c>
      <c r="B95" s="464" t="n">
        <f aca="false">0.0165+0.076</f>
        <v>0.0925</v>
      </c>
      <c r="C95" s="515" t="n">
        <f aca="false">((C$19+C$49+C$60+C$80+C$88+C$92+C$93)/(1-($B$94)))*$B$95</f>
        <v>396.837845908211</v>
      </c>
      <c r="D95" s="516" t="n">
        <f aca="false">((D$19+D$49+D$60+D$80+D$88+D$92+D$93)/(1-($B$94)))*$B$95</f>
        <v>301.841206640585</v>
      </c>
    </row>
    <row r="96" customFormat="false" ht="14.25" hidden="false" customHeight="true" outlineLevel="0" collapsed="false">
      <c r="A96" s="443" t="s">
        <v>449</v>
      </c>
      <c r="B96" s="464" t="n">
        <v>0.02</v>
      </c>
      <c r="C96" s="515" t="n">
        <f aca="false">((C$19+C$49+C$60+C$80+C$88+C$92+C$93)/(1-($B$94)))*$B$96</f>
        <v>85.8027774936672</v>
      </c>
      <c r="D96" s="516" t="n">
        <f aca="false">((D$19+D$49+D$60+D$80+D$88+D$92+D$93)/(1-($B$94)))*$B$96</f>
        <v>65.2629635979644</v>
      </c>
    </row>
    <row r="97" customFormat="false" ht="14.25" hidden="false" customHeight="true" outlineLevel="0" collapsed="false">
      <c r="A97" s="506" t="s">
        <v>450</v>
      </c>
      <c r="B97" s="507" t="n">
        <f aca="false">B98+B99</f>
        <v>0.1175</v>
      </c>
      <c r="C97" s="508" t="n">
        <f aca="false">((C19+C49+C60+C80+C88+C92+C93)/(1-($B$97)))*$B$97</f>
        <v>506.947359235778</v>
      </c>
      <c r="D97" s="509" t="n">
        <f aca="false">((D19+D49+D60+D80+D88+D92+D93)/(1-($B$97)))*$B$97</f>
        <v>385.592261909361</v>
      </c>
    </row>
    <row r="98" customFormat="false" ht="14.25" hidden="false" customHeight="true" outlineLevel="0" collapsed="false">
      <c r="A98" s="443" t="s">
        <v>448</v>
      </c>
      <c r="B98" s="464" t="n">
        <f aca="false">0.0165+0.076</f>
        <v>0.0925</v>
      </c>
      <c r="C98" s="510" t="n">
        <f aca="false">((C19+C49+C60+C80+C88+C92+C93)/(1-($B$97)))*$B$98</f>
        <v>399.086218972847</v>
      </c>
      <c r="D98" s="511" t="n">
        <f aca="false">((D19+D49+D60+D80+D88+D92+D93)/(1-($B$97)))*$B$98</f>
        <v>303.551355120135</v>
      </c>
    </row>
    <row r="99" customFormat="false" ht="14.25" hidden="false" customHeight="true" outlineLevel="0" collapsed="false">
      <c r="A99" s="443" t="s">
        <v>449</v>
      </c>
      <c r="B99" s="464" t="n">
        <v>0.025</v>
      </c>
      <c r="C99" s="510" t="n">
        <f aca="false">((C$19+C$49+C$60+C$80+C$88+C$92+C$93)/(1-($B$97)))*$B$99</f>
        <v>107.861140262932</v>
      </c>
      <c r="D99" s="511" t="n">
        <f aca="false">((D$19+D$49+D$60+D$80+D$88+D$92+D$93)/(1-($B$97)))*$B$99</f>
        <v>82.0409067892258</v>
      </c>
    </row>
    <row r="100" customFormat="false" ht="14.25" hidden="false" customHeight="true" outlineLevel="0" collapsed="false">
      <c r="A100" s="506" t="s">
        <v>451</v>
      </c>
      <c r="B100" s="507" t="n">
        <f aca="false">B101+B102</f>
        <v>0.1225</v>
      </c>
      <c r="C100" s="508" t="n">
        <f aca="false">((C19+C49+C60+C80+C88+C92+C93)/(1-($B$100)))*$B$100</f>
        <v>531.531094908241</v>
      </c>
      <c r="D100" s="509" t="n">
        <f aca="false">((D19+D49+D60+D80+D88+D92+D93)/(1-($B$100)))*$B$100</f>
        <v>404.291044083544</v>
      </c>
    </row>
    <row r="101" customFormat="false" ht="14.25" hidden="false" customHeight="true" outlineLevel="0" collapsed="false">
      <c r="A101" s="443" t="s">
        <v>448</v>
      </c>
      <c r="B101" s="464" t="n">
        <f aca="false">0.0165+0.076</f>
        <v>0.0925</v>
      </c>
      <c r="C101" s="510" t="n">
        <f aca="false">((C19+C49+C60+C80+C88+C92+C93)/(1-($B$100)))*$B$101</f>
        <v>401.360214522549</v>
      </c>
      <c r="D101" s="511" t="n">
        <f aca="false">((D19+D49+D60+D80+D88+D92+D93)/(1-($B$100)))*$B$101</f>
        <v>305.280992471247</v>
      </c>
    </row>
    <row r="102" customFormat="false" ht="14.25" hidden="false" customHeight="true" outlineLevel="0" collapsed="false">
      <c r="A102" s="443" t="s">
        <v>449</v>
      </c>
      <c r="B102" s="464" t="n">
        <v>0.03</v>
      </c>
      <c r="C102" s="510" t="n">
        <f aca="false">((C19+C49+C60+C80+C88+C92+C93)/(1-($B$100)))*$B$102</f>
        <v>130.170880385692</v>
      </c>
      <c r="D102" s="511" t="n">
        <f aca="false">((D19+D49+D60+D80+D88+D92+D93)/(1-($B$100)))*$B$102</f>
        <v>99.0100516122964</v>
      </c>
    </row>
    <row r="103" customFormat="false" ht="14.25" hidden="false" customHeight="true" outlineLevel="0" collapsed="false">
      <c r="A103" s="506" t="s">
        <v>452</v>
      </c>
      <c r="B103" s="507" t="n">
        <f aca="false">B104+B105</f>
        <v>0.1275</v>
      </c>
      <c r="C103" s="508" t="n">
        <f aca="false">((C19+C49+C60+C80+C88+C92+C93)/(1-($B$103)))*$B$103</f>
        <v>556.396592594142</v>
      </c>
      <c r="D103" s="509" t="n">
        <f aca="false">((D19+D49+D60+D80+D88+D92+D93)/(1-($B$103)))*$B$103</f>
        <v>423.204138947402</v>
      </c>
    </row>
    <row r="104" customFormat="false" ht="14.25" hidden="false" customHeight="true" outlineLevel="0" collapsed="false">
      <c r="A104" s="443" t="s">
        <v>448</v>
      </c>
      <c r="B104" s="464" t="n">
        <f aca="false">0.0165+0.076</f>
        <v>0.0925</v>
      </c>
      <c r="C104" s="510" t="n">
        <f aca="false">((C19+C49+C60+C80+C88+C92+C93)/(1-($B$103)))*$B$104</f>
        <v>403.660273058495</v>
      </c>
      <c r="D104" s="511" t="n">
        <f aca="false">((D19+D49+D60+D80+D88+D92+D93)/(1-($B$103)))*$B$104</f>
        <v>307.030453746154</v>
      </c>
    </row>
    <row r="105" customFormat="false" ht="14.25" hidden="false" customHeight="true" outlineLevel="0" collapsed="false">
      <c r="A105" s="443" t="s">
        <v>449</v>
      </c>
      <c r="B105" s="464" t="n">
        <v>0.035</v>
      </c>
      <c r="C105" s="510" t="n">
        <f aca="false">((C19+C49+C60+C80+C88+C92+C93)/(1-($B$103)))*$B$105</f>
        <v>152.736319535647</v>
      </c>
      <c r="D105" s="511" t="n">
        <f aca="false">((D19+D49+D60+D80+D88+D92+D93)/(1-($B$103)))*$B$105</f>
        <v>116.173685201248</v>
      </c>
    </row>
    <row r="106" customFormat="false" ht="14.25" hidden="false" customHeight="true" outlineLevel="0" collapsed="false">
      <c r="A106" s="506" t="s">
        <v>453</v>
      </c>
      <c r="B106" s="507" t="n">
        <f aca="false">B107+B108</f>
        <v>0.1325</v>
      </c>
      <c r="C106" s="508" t="n">
        <f aca="false">((C19+C49+C60+C80+C88+C92+C93)/(1-($B$106)))*$B$106</f>
        <v>581.548724259131</v>
      </c>
      <c r="D106" s="509" t="n">
        <f aca="false">((D19+D49+D60+D80+D88+D92+D93)/(1-($B$106)))*$B$106</f>
        <v>442.335252195857</v>
      </c>
    </row>
    <row r="107" customFormat="false" ht="14.25" hidden="false" customHeight="true" outlineLevel="0" collapsed="false">
      <c r="A107" s="443" t="s">
        <v>448</v>
      </c>
      <c r="B107" s="464" t="n">
        <f aca="false">0.0165+0.076</f>
        <v>0.0925</v>
      </c>
      <c r="C107" s="510" t="n">
        <f aca="false">((C19+C49+C60+C80+C88+C92+C93)/(1-($B$106)))*$B$107</f>
        <v>405.986845237507</v>
      </c>
      <c r="D107" s="511" t="n">
        <f aca="false">((D19+D49+D60+D80+D88+D92+D93)/(1-($B$106)))*$B$107</f>
        <v>308.800081721636</v>
      </c>
    </row>
    <row r="108" customFormat="false" ht="14.25" hidden="false" customHeight="true" outlineLevel="0" collapsed="false">
      <c r="A108" s="443" t="s">
        <v>449</v>
      </c>
      <c r="B108" s="464" t="n">
        <v>0.04</v>
      </c>
      <c r="C108" s="510" t="n">
        <f aca="false">((C19+C49+C60+C80+C88+C92+C93)/(1-($B$106)))*$B$108</f>
        <v>175.561879021625</v>
      </c>
      <c r="D108" s="511" t="n">
        <f aca="false">((D19+D49+D60+D80+D88+D92+D93)/(1-($B$106)))*$B$108</f>
        <v>133.535170474221</v>
      </c>
    </row>
    <row r="109" customFormat="false" ht="14.25" hidden="false" customHeight="true" outlineLevel="0" collapsed="false">
      <c r="A109" s="506" t="s">
        <v>454</v>
      </c>
      <c r="B109" s="507" t="n">
        <f aca="false">B110+B111</f>
        <v>0.1425</v>
      </c>
      <c r="C109" s="508" t="n">
        <f aca="false">((C19+C49+C60+C80+C88+C92+C93)/(1-($B$109)))*$B$109</f>
        <v>632.732945548235</v>
      </c>
      <c r="D109" s="509" t="n">
        <f aca="false">((D19+D49+D60+D80+D88+D92+D93)/(1-($B$109)))*$B$109</f>
        <v>481.266788777263</v>
      </c>
    </row>
    <row r="110" customFormat="false" ht="14.25" hidden="false" customHeight="true" outlineLevel="0" collapsed="false">
      <c r="A110" s="443" t="s">
        <v>448</v>
      </c>
      <c r="B110" s="464" t="n">
        <f aca="false">0.0165+0.076</f>
        <v>0.0925</v>
      </c>
      <c r="C110" s="515" t="n">
        <f aca="false">((C19+C49+C60+C80+C88+C92+C93)/(1-($B$109)))*$B$110</f>
        <v>410.721385706749</v>
      </c>
      <c r="D110" s="516" t="n">
        <f aca="false">((D19+D49+D60+D80+D88+D92+D93)/(1-($B$109)))*$B$110</f>
        <v>312.401248855416</v>
      </c>
    </row>
    <row r="111" customFormat="false" ht="14.25" hidden="false" customHeight="true" outlineLevel="0" collapsed="false">
      <c r="A111" s="620" t="s">
        <v>449</v>
      </c>
      <c r="B111" s="621" t="n">
        <v>0.05</v>
      </c>
      <c r="C111" s="622" t="n">
        <f aca="false">((C19+C49+C60+C80+C88+C92+C93)/(1-($B$109)))*$B$111</f>
        <v>222.011559841486</v>
      </c>
      <c r="D111" s="623" t="n">
        <f aca="false">((D19+D49+D60+D80+D88+D92+D93)/(1-($B$109)))*$B$111</f>
        <v>168.865539921847</v>
      </c>
    </row>
    <row r="112" customFormat="false" ht="14.25" hidden="false" customHeight="true" outlineLevel="0" collapsed="false">
      <c r="A112" s="624" t="s">
        <v>455</v>
      </c>
      <c r="B112" s="625" t="n">
        <v>0.02</v>
      </c>
      <c r="C112" s="626" t="n">
        <f aca="false">C92+C93+C94</f>
        <v>828.578575064853</v>
      </c>
      <c r="D112" s="627" t="n">
        <f aca="false">D92+D93+D94</f>
        <v>630.230103990536</v>
      </c>
    </row>
    <row r="113" customFormat="false" ht="14.25" hidden="false" customHeight="true" outlineLevel="0" collapsed="false">
      <c r="A113" s="624"/>
      <c r="B113" s="628" t="n">
        <v>0.025</v>
      </c>
      <c r="C113" s="525" t="n">
        <f aca="false">C92+C93+C97</f>
        <v>852.885310898753</v>
      </c>
      <c r="D113" s="526" t="n">
        <f aca="false">D92+D93+D97</f>
        <v>648.718195661347</v>
      </c>
    </row>
    <row r="114" customFormat="false" ht="14.25" hidden="false" customHeight="true" outlineLevel="0" collapsed="false">
      <c r="A114" s="624"/>
      <c r="B114" s="628" t="n">
        <v>0.03</v>
      </c>
      <c r="C114" s="525" t="n">
        <f aca="false">C92+C93+C100</f>
        <v>877.469046571216</v>
      </c>
      <c r="D114" s="526" t="n">
        <f aca="false">D92+D93+D100</f>
        <v>667.41697783553</v>
      </c>
    </row>
    <row r="115" customFormat="false" ht="14.25" hidden="false" customHeight="true" outlineLevel="0" collapsed="false">
      <c r="A115" s="624"/>
      <c r="B115" s="628" t="n">
        <v>0.035</v>
      </c>
      <c r="C115" s="525" t="n">
        <f aca="false">C92+C93+C103</f>
        <v>902.334544257117</v>
      </c>
      <c r="D115" s="526" t="n">
        <f aca="false">D92+D93+D103</f>
        <v>686.330072699388</v>
      </c>
    </row>
    <row r="116" customFormat="false" ht="14.25" hidden="false" customHeight="true" outlineLevel="0" collapsed="false">
      <c r="A116" s="624"/>
      <c r="B116" s="628" t="n">
        <v>0.04</v>
      </c>
      <c r="C116" s="525" t="n">
        <f aca="false">C92+C93+C106</f>
        <v>927.486675922106</v>
      </c>
      <c r="D116" s="526" t="n">
        <f aca="false">D92+D93+D106</f>
        <v>705.461185947844</v>
      </c>
    </row>
    <row r="117" customFormat="false" ht="14.25" hidden="false" customHeight="true" outlineLevel="0" collapsed="false">
      <c r="A117" s="624"/>
      <c r="B117" s="629" t="n">
        <v>0.05</v>
      </c>
      <c r="C117" s="529" t="n">
        <f aca="false">C92+C93+C109</f>
        <v>978.67089721121</v>
      </c>
      <c r="D117" s="530" t="n">
        <f aca="false">D92+D93+D109</f>
        <v>744.392722529249</v>
      </c>
    </row>
    <row r="118" customFormat="false" ht="14.25" hidden="false" customHeight="true" outlineLevel="0" collapsed="false">
      <c r="A118" s="603"/>
      <c r="B118" s="603"/>
      <c r="C118" s="603"/>
      <c r="D118" s="603"/>
    </row>
    <row r="119" customFormat="false" ht="14.25" hidden="false" customHeight="true" outlineLevel="0" collapsed="false">
      <c r="A119" s="603"/>
      <c r="B119" s="603"/>
      <c r="C119" s="603"/>
      <c r="D119" s="603"/>
    </row>
    <row r="120" customFormat="false" ht="23.25" hidden="false" customHeight="true" outlineLevel="0" collapsed="false">
      <c r="A120" s="537" t="s">
        <v>457</v>
      </c>
      <c r="B120" s="537"/>
      <c r="C120" s="538" t="str">
        <f aca="false">C10</f>
        <v>Servente 40h
COVID</v>
      </c>
      <c r="D120" s="630" t="str">
        <f aca="false">D10</f>
        <v>Servente 30h
COVID</v>
      </c>
    </row>
    <row r="121" customFormat="false" ht="14.25" hidden="false" customHeight="true" outlineLevel="0" collapsed="false">
      <c r="A121" s="540" t="s">
        <v>458</v>
      </c>
      <c r="B121" s="540"/>
      <c r="C121" s="541" t="s">
        <v>383</v>
      </c>
      <c r="D121" s="631" t="s">
        <v>383</v>
      </c>
    </row>
    <row r="122" customFormat="false" ht="15.75" hidden="false" customHeight="true" outlineLevel="0" collapsed="false">
      <c r="A122" s="543" t="s">
        <v>459</v>
      </c>
      <c r="B122" s="543"/>
      <c r="C122" s="544" t="n">
        <f aca="false">C19</f>
        <v>1433.55272727273</v>
      </c>
      <c r="D122" s="632" t="n">
        <f aca="false">D19</f>
        <v>1075.16454545455</v>
      </c>
    </row>
    <row r="123" customFormat="false" ht="15.75" hidden="false" customHeight="true" outlineLevel="0" collapsed="false">
      <c r="A123" s="546" t="s">
        <v>460</v>
      </c>
      <c r="B123" s="546"/>
      <c r="C123" s="547" t="n">
        <f aca="false">C49</f>
        <v>1218.78090909091</v>
      </c>
      <c r="D123" s="633" t="n">
        <f aca="false">D49</f>
        <v>870.535681818182</v>
      </c>
    </row>
    <row r="124" customFormat="false" ht="15.75" hidden="false" customHeight="true" outlineLevel="0" collapsed="false">
      <c r="A124" s="546" t="s">
        <v>461</v>
      </c>
      <c r="B124" s="546"/>
      <c r="C124" s="547" t="n">
        <f aca="false">C60</f>
        <v>93.8977036363636</v>
      </c>
      <c r="D124" s="633" t="n">
        <f aca="false">D60</f>
        <v>70.4232777272727</v>
      </c>
    </row>
    <row r="125" customFormat="false" ht="15.75" hidden="false" customHeight="true" outlineLevel="0" collapsed="false">
      <c r="A125" s="546" t="s">
        <v>462</v>
      </c>
      <c r="B125" s="546"/>
      <c r="C125" s="547" t="n">
        <f aca="false">C80</f>
        <v>298.123542951841</v>
      </c>
      <c r="D125" s="633" t="n">
        <f aca="false">D80</f>
        <v>219.279154241017</v>
      </c>
    </row>
    <row r="126" customFormat="false" ht="15.75" hidden="false" customHeight="true" outlineLevel="0" collapsed="false">
      <c r="A126" s="546" t="s">
        <v>463</v>
      </c>
      <c r="B126" s="546"/>
      <c r="C126" s="547" t="n">
        <f aca="false">C88</f>
        <v>417.205416666667</v>
      </c>
      <c r="D126" s="633" t="n">
        <f aca="false">D88</f>
        <v>397.515416666667</v>
      </c>
    </row>
    <row r="127" customFormat="false" ht="15.75" hidden="false" customHeight="true" outlineLevel="0" collapsed="false">
      <c r="A127" s="549" t="s">
        <v>464</v>
      </c>
      <c r="B127" s="549"/>
      <c r="C127" s="550" t="n">
        <f aca="false">SUM(C122:C126)</f>
        <v>3461.56029961851</v>
      </c>
      <c r="D127" s="634" t="n">
        <f aca="false">SUM(D122:D126)</f>
        <v>2632.91807590768</v>
      </c>
    </row>
    <row r="128" customFormat="false" ht="15.75" hidden="false" customHeight="true" outlineLevel="0" collapsed="false">
      <c r="A128" s="552" t="s">
        <v>465</v>
      </c>
      <c r="B128" s="552"/>
      <c r="C128" s="553" t="n">
        <f aca="false">C112</f>
        <v>828.578575064853</v>
      </c>
      <c r="D128" s="634" t="n">
        <f aca="false">D112</f>
        <v>630.230103990536</v>
      </c>
    </row>
    <row r="129" customFormat="false" ht="15.75" hidden="false" customHeight="true" outlineLevel="0" collapsed="false">
      <c r="A129" s="546" t="s">
        <v>466</v>
      </c>
      <c r="B129" s="546"/>
      <c r="C129" s="555" t="n">
        <f aca="false">C113</f>
        <v>852.885310898753</v>
      </c>
      <c r="D129" s="634" t="n">
        <f aca="false">D113</f>
        <v>648.718195661347</v>
      </c>
    </row>
    <row r="130" customFormat="false" ht="15.75" hidden="false" customHeight="true" outlineLevel="0" collapsed="false">
      <c r="A130" s="546" t="s">
        <v>467</v>
      </c>
      <c r="B130" s="546"/>
      <c r="C130" s="555" t="n">
        <f aca="false">C114</f>
        <v>877.469046571216</v>
      </c>
      <c r="D130" s="634" t="n">
        <f aca="false">D114</f>
        <v>667.41697783553</v>
      </c>
    </row>
    <row r="131" customFormat="false" ht="15.75" hidden="false" customHeight="true" outlineLevel="0" collapsed="false">
      <c r="A131" s="546" t="s">
        <v>468</v>
      </c>
      <c r="B131" s="546"/>
      <c r="C131" s="555" t="n">
        <f aca="false">C115</f>
        <v>902.334544257117</v>
      </c>
      <c r="D131" s="556" t="n">
        <f aca="false">D115</f>
        <v>686.330072699388</v>
      </c>
    </row>
    <row r="132" customFormat="false" ht="15.75" hidden="false" customHeight="true" outlineLevel="0" collapsed="false">
      <c r="A132" s="546" t="s">
        <v>469</v>
      </c>
      <c r="B132" s="546"/>
      <c r="C132" s="555" t="n">
        <f aca="false">C116</f>
        <v>927.486675922106</v>
      </c>
      <c r="D132" s="634" t="n">
        <f aca="false">D116</f>
        <v>705.461185947844</v>
      </c>
    </row>
    <row r="133" customFormat="false" ht="15.75" hidden="false" customHeight="true" outlineLevel="0" collapsed="false">
      <c r="A133" s="552" t="s">
        <v>470</v>
      </c>
      <c r="B133" s="552"/>
      <c r="C133" s="555" t="n">
        <f aca="false">C117</f>
        <v>978.67089721121</v>
      </c>
      <c r="D133" s="635" t="n">
        <f aca="false">D117</f>
        <v>744.392722529249</v>
      </c>
    </row>
    <row r="134" customFormat="false" ht="15.75" hidden="false" customHeight="true" outlineLevel="0" collapsed="false">
      <c r="A134" s="557" t="s">
        <v>471</v>
      </c>
      <c r="B134" s="558"/>
      <c r="C134" s="559" t="n">
        <f aca="false">C127+C128</f>
        <v>4290.13887468336</v>
      </c>
      <c r="D134" s="560" t="n">
        <f aca="false">D127+D128</f>
        <v>3263.14817989822</v>
      </c>
    </row>
    <row r="135" customFormat="false" ht="15.75" hidden="false" customHeight="true" outlineLevel="0" collapsed="false">
      <c r="A135" s="561" t="s">
        <v>472</v>
      </c>
      <c r="B135" s="562"/>
      <c r="C135" s="563" t="n">
        <f aca="false">C127+C129</f>
        <v>4314.44561051726</v>
      </c>
      <c r="D135" s="564" t="n">
        <f aca="false">D127+D129</f>
        <v>3281.63627156903</v>
      </c>
    </row>
    <row r="136" customFormat="false" ht="15.75" hidden="false" customHeight="true" outlineLevel="0" collapsed="false">
      <c r="A136" s="561" t="s">
        <v>473</v>
      </c>
      <c r="B136" s="562"/>
      <c r="C136" s="563" t="n">
        <f aca="false">C127+C130</f>
        <v>4339.02934618972</v>
      </c>
      <c r="D136" s="564" t="n">
        <f aca="false">D127+D130</f>
        <v>3300.33505374321</v>
      </c>
    </row>
    <row r="137" customFormat="false" ht="15.75" hidden="false" customHeight="true" outlineLevel="0" collapsed="false">
      <c r="A137" s="561" t="s">
        <v>474</v>
      </c>
      <c r="B137" s="562"/>
      <c r="C137" s="563" t="n">
        <f aca="false">C127+C131</f>
        <v>4363.89484387562</v>
      </c>
      <c r="D137" s="564" t="n">
        <f aca="false">D127+D131</f>
        <v>3319.24814860707</v>
      </c>
    </row>
    <row r="138" customFormat="false" ht="15.75" hidden="false" customHeight="true" outlineLevel="0" collapsed="false">
      <c r="A138" s="561" t="s">
        <v>475</v>
      </c>
      <c r="B138" s="562"/>
      <c r="C138" s="563" t="n">
        <f aca="false">C127+C132</f>
        <v>4389.04697554061</v>
      </c>
      <c r="D138" s="564" t="n">
        <f aca="false">D127+D132</f>
        <v>3338.37926185553</v>
      </c>
    </row>
    <row r="139" customFormat="false" ht="13.9" hidden="false" customHeight="true" outlineLevel="0" collapsed="false">
      <c r="A139" s="565" t="s">
        <v>476</v>
      </c>
      <c r="B139" s="566"/>
      <c r="C139" s="567" t="n">
        <f aca="false">C127+C133</f>
        <v>4440.23119682972</v>
      </c>
      <c r="D139" s="568" t="n">
        <f aca="false">D127+D133</f>
        <v>3377.31079843693</v>
      </c>
    </row>
    <row r="140" customFormat="false" ht="13.9" hidden="false" customHeight="true" outlineLevel="0" collapsed="false"/>
    <row r="141" customFormat="false" ht="13.9" hidden="false" customHeight="true" outlineLevel="0" collapsed="false"/>
    <row r="142" customFormat="false" ht="13.9" hidden="false" customHeight="true" outlineLevel="0" collapsed="false"/>
    <row r="143" customFormat="false" ht="13.9" hidden="false" customHeight="true" outlineLevel="0" collapsed="false"/>
    <row r="144" customFormat="false" ht="13.9" hidden="false" customHeight="true" outlineLevel="0" collapsed="false"/>
    <row r="145" customFormat="false" ht="13.9" hidden="false" customHeight="true" outlineLevel="0" collapsed="false"/>
  </sheetData>
  <mergeCells count="32">
    <mergeCell ref="A1:D1"/>
    <mergeCell ref="A2:D2"/>
    <mergeCell ref="A3:D3"/>
    <mergeCell ref="A9:D9"/>
    <mergeCell ref="A11:D11"/>
    <mergeCell ref="A20:D20"/>
    <mergeCell ref="A21:D21"/>
    <mergeCell ref="A50:D50"/>
    <mergeCell ref="A51:D51"/>
    <mergeCell ref="A61:D61"/>
    <mergeCell ref="A62:D62"/>
    <mergeCell ref="A81:D81"/>
    <mergeCell ref="A82:D82"/>
    <mergeCell ref="A89:D89"/>
    <mergeCell ref="A90:D90"/>
    <mergeCell ref="A112:A117"/>
    <mergeCell ref="A118:D118"/>
    <mergeCell ref="A119:D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02779F605D534DA1B3FC3D1B1B4DA1" ma:contentTypeVersion="4" ma:contentTypeDescription="Crie um novo documento." ma:contentTypeScope="" ma:versionID="0befc87c81429b8c0833552f2f2d2d5a">
  <xsd:schema xmlns:xsd="http://www.w3.org/2001/XMLSchema" xmlns:xs="http://www.w3.org/2001/XMLSchema" xmlns:p="http://schemas.microsoft.com/office/2006/metadata/properties" xmlns:ns2="c3daeb68-ee4a-4fef-ab94-779009af24c2" xmlns:ns3="a1fdbba4-714c-4189-ada0-32d20d17b811" targetNamespace="http://schemas.microsoft.com/office/2006/metadata/properties" ma:root="true" ma:fieldsID="72e0f711d003ad403bb959cc4c81b406" ns2:_="" ns3:_="">
    <xsd:import namespace="c3daeb68-ee4a-4fef-ab94-779009af24c2"/>
    <xsd:import namespace="a1fdbba4-714c-4189-ada0-32d20d17b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aeb68-ee4a-4fef-ab94-779009af2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fdbba4-714c-4189-ada0-32d20d17b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B785BD-8C1F-4A67-BDF9-6295CD06FE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E8600D-0261-4D28-9234-90B3C7277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daeb68-ee4a-4fef-ab94-779009af24c2"/>
    <ds:schemaRef ds:uri="a1fdbba4-714c-4189-ada0-32d20d17b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3AD061-D27C-44D8-8088-13DCB84CA604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a1fdbba4-714c-4189-ada0-32d20d17b811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c3daeb68-ee4a-4fef-ab94-779009af24c2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2020-03-17T09:48:25Z</dcterms:created>
  <dc:creator>Ana Carolina Alves Miranda</dc:creator>
  <dc:description/>
  <dc:language>pt-BR</dc:language>
  <cp:lastModifiedBy>w10</cp:lastModifiedBy>
  <dcterms:modified xsi:type="dcterms:W3CDTF">2022-05-12T19:19:21Z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0x0101002802779F605D534DA1B3FC3D1B1B4DA1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